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495" windowWidth="13980" windowHeight="9915" tabRatio="976" activeTab="14"/>
  </bookViews>
  <sheets>
    <sheet name="пр.1дох.20" sheetId="1" r:id="rId1"/>
    <sheet name="Пр.1.1. дох.21-22" sheetId="12" state="hidden" r:id="rId2"/>
    <sheet name="пр.2 Рд,пр 20" sheetId="2" r:id="rId3"/>
    <sheet name="пр.3.1. рдпр 21-22" sheetId="13" state="hidden" r:id="rId4"/>
    <sheet name="Пр.3 Рд,пр, ЦС,ВР 20" sheetId="3" r:id="rId5"/>
    <sheet name="пр.4.1.рдпрцс 21-22" sheetId="14" state="hidden" r:id="rId6"/>
    <sheet name="Прил.№5 ведомств.старая" sheetId="10" state="hidden" r:id="rId7"/>
    <sheet name="прил.№6 МП старая" sheetId="11" state="hidden" r:id="rId8"/>
    <sheet name="Пр.4 ведом.20" sheetId="4" r:id="rId9"/>
    <sheet name="пр.5.1.ведом.21-22" sheetId="15" state="hidden" r:id="rId10"/>
    <sheet name="пр.5 МП 20" sheetId="5" r:id="rId11"/>
    <sheet name="пр.6.1.МП 21-22" sheetId="16" state="hidden" r:id="rId12"/>
    <sheet name="пр.6 публ. 20" sheetId="6" r:id="rId13"/>
    <sheet name="пр.7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пр.1дох.20!$A$1:$C$188</definedName>
    <definedName name="_xlnm._FilterDatabase" localSheetId="8" hidden="1">'Пр.4 ведом.20'!$A$138:$G$500</definedName>
    <definedName name="_xlnm.Print_Area" localSheetId="1">'Пр.1.1. дох.21-22'!$A$1:$D$152</definedName>
    <definedName name="_xlnm.Print_Area" localSheetId="0">пр.1дох.20!$A$1:$E$188</definedName>
    <definedName name="_xlnm.Print_Area" localSheetId="2">'пр.2 Рд,пр 20'!$A$1:$F$52</definedName>
    <definedName name="_xlnm.Print_Area" localSheetId="4">'Пр.3 Рд,пр, ЦС,ВР 20'!$A$1:$H$1139</definedName>
    <definedName name="_xlnm.Print_Area" localSheetId="8">'Пр.4 ведом.20'!$A$1:$I$1244</definedName>
    <definedName name="_xlnm.Print_Area" localSheetId="10">'пр.5 МП 20'!$A$1:$I$1049</definedName>
    <definedName name="_xlnm.Print_Area" localSheetId="9">'пр.5.1.ведом.21-22'!$A$1:$K$1105</definedName>
    <definedName name="_xlnm.Print_Area" localSheetId="14">'пр.7 ист-ки 20'!$A$1:$E$17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D12" i="7" l="1"/>
  <c r="D186" i="1" l="1"/>
  <c r="D112" i="1"/>
  <c r="D106" i="1"/>
  <c r="D99" i="1"/>
  <c r="D141" i="1"/>
  <c r="C186" i="1"/>
  <c r="E179" i="1"/>
  <c r="C178" i="1"/>
  <c r="D178" i="1"/>
  <c r="D127" i="1"/>
  <c r="C91" i="1"/>
  <c r="C90" i="1" s="1"/>
  <c r="C93" i="1"/>
  <c r="D93" i="1"/>
  <c r="D91" i="1"/>
  <c r="C87" i="1"/>
  <c r="D87" i="1"/>
  <c r="C85" i="1"/>
  <c r="D85" i="1"/>
  <c r="C83" i="1"/>
  <c r="D83" i="1"/>
  <c r="C81" i="1"/>
  <c r="D81" i="1"/>
  <c r="C63" i="1"/>
  <c r="D63" i="1"/>
  <c r="C51" i="1"/>
  <c r="D52" i="1"/>
  <c r="D51" i="1" s="1"/>
  <c r="D17" i="1"/>
  <c r="E178" i="1" l="1"/>
  <c r="D90" i="1"/>
  <c r="D59" i="1"/>
  <c r="C43" i="1"/>
  <c r="D43" i="1"/>
  <c r="D30" i="1"/>
  <c r="D29" i="1"/>
  <c r="D27" i="1" s="1"/>
  <c r="D11" i="7" l="1"/>
  <c r="I15" i="6"/>
  <c r="I14" i="6"/>
  <c r="I13" i="6"/>
  <c r="I12" i="6" s="1"/>
  <c r="I11" i="6" s="1"/>
  <c r="H40" i="6"/>
  <c r="H39" i="6"/>
  <c r="H38" i="6"/>
  <c r="H37" i="6" s="1"/>
  <c r="H36" i="6" s="1"/>
  <c r="H28" i="6"/>
  <c r="H22" i="6"/>
  <c r="H21" i="6" s="1"/>
  <c r="H20" i="6" s="1"/>
  <c r="H15" i="6"/>
  <c r="H14" i="6" s="1"/>
  <c r="H13" i="6" s="1"/>
  <c r="H12" i="6" s="1"/>
  <c r="H11" i="6" s="1"/>
  <c r="H1040" i="5"/>
  <c r="H1039" i="5" s="1"/>
  <c r="H1036" i="5"/>
  <c r="H1037" i="5" s="1"/>
  <c r="H1028" i="5"/>
  <c r="H1004" i="5"/>
  <c r="H997" i="5"/>
  <c r="H996" i="5"/>
  <c r="H991" i="5"/>
  <c r="H985" i="5"/>
  <c r="H979" i="5"/>
  <c r="H980" i="5" s="1"/>
  <c r="H975" i="5"/>
  <c r="H974" i="5" s="1"/>
  <c r="H970" i="5"/>
  <c r="H965" i="5"/>
  <c r="H964" i="5"/>
  <c r="H958" i="5"/>
  <c r="H954" i="5"/>
  <c r="H942" i="5"/>
  <c r="H938" i="5"/>
  <c r="H937" i="5"/>
  <c r="H930" i="5"/>
  <c r="H926" i="5"/>
  <c r="H927" i="5" s="1"/>
  <c r="H923" i="5"/>
  <c r="H922" i="5"/>
  <c r="H921" i="5"/>
  <c r="H919" i="5"/>
  <c r="H918" i="5" s="1"/>
  <c r="H869" i="5"/>
  <c r="H868" i="5" s="1"/>
  <c r="H850" i="5"/>
  <c r="H842" i="5"/>
  <c r="H820" i="5"/>
  <c r="H821" i="5" s="1"/>
  <c r="H816" i="5"/>
  <c r="H798" i="5"/>
  <c r="H794" i="5"/>
  <c r="H785" i="5"/>
  <c r="H784" i="5"/>
  <c r="H779" i="5"/>
  <c r="H780" i="5" s="1"/>
  <c r="H773" i="5"/>
  <c r="H772" i="5" s="1"/>
  <c r="H768" i="5"/>
  <c r="H763" i="5"/>
  <c r="H754" i="5"/>
  <c r="H755" i="5" s="1"/>
  <c r="H750" i="5"/>
  <c r="H746" i="5"/>
  <c r="H742" i="5"/>
  <c r="H735" i="5"/>
  <c r="H725" i="5"/>
  <c r="H724" i="5"/>
  <c r="H718" i="5"/>
  <c r="H711" i="5"/>
  <c r="H710" i="5"/>
  <c r="H708" i="5"/>
  <c r="H705" i="5"/>
  <c r="H697" i="5"/>
  <c r="H698" i="5" s="1"/>
  <c r="H696" i="5"/>
  <c r="H693" i="5"/>
  <c r="H692" i="5" s="1"/>
  <c r="H689" i="5"/>
  <c r="H688" i="5"/>
  <c r="H682" i="5"/>
  <c r="H678" i="5"/>
  <c r="H671" i="5"/>
  <c r="H664" i="5"/>
  <c r="H657" i="5"/>
  <c r="H654" i="5"/>
  <c r="H651" i="5"/>
  <c r="H652" i="5" s="1"/>
  <c r="H643" i="5"/>
  <c r="H642" i="5"/>
  <c r="H618" i="5"/>
  <c r="H604" i="5"/>
  <c r="H601" i="5"/>
  <c r="H602" i="5" s="1"/>
  <c r="H598" i="5"/>
  <c r="H589" i="5"/>
  <c r="H586" i="5"/>
  <c r="H578" i="5"/>
  <c r="H574" i="5"/>
  <c r="H567" i="5"/>
  <c r="H566" i="5"/>
  <c r="H560" i="5"/>
  <c r="H553" i="5"/>
  <c r="H549" i="5"/>
  <c r="H550" i="5" s="1"/>
  <c r="H542" i="5"/>
  <c r="H538" i="5"/>
  <c r="H534" i="5"/>
  <c r="H527" i="5"/>
  <c r="H523" i="5"/>
  <c r="H519" i="5"/>
  <c r="H498" i="5"/>
  <c r="H448" i="5"/>
  <c r="H449" i="5" s="1"/>
  <c r="H440" i="5"/>
  <c r="H436" i="5"/>
  <c r="H435" i="5"/>
  <c r="H429" i="5"/>
  <c r="H421" i="5"/>
  <c r="H420" i="5" s="1"/>
  <c r="H419" i="5" s="1"/>
  <c r="H417" i="5"/>
  <c r="H410" i="5"/>
  <c r="H399" i="5"/>
  <c r="H395" i="5"/>
  <c r="H388" i="5"/>
  <c r="H389" i="5" s="1"/>
  <c r="H384" i="5"/>
  <c r="H383" i="5"/>
  <c r="H382" i="5" s="1"/>
  <c r="H378" i="5"/>
  <c r="H377" i="5"/>
  <c r="H366" i="5"/>
  <c r="H365" i="5"/>
  <c r="H362" i="5"/>
  <c r="H363" i="5" s="1"/>
  <c r="H344" i="5"/>
  <c r="H345" i="5" s="1"/>
  <c r="H340" i="5"/>
  <c r="H341" i="5" s="1"/>
  <c r="H339" i="5"/>
  <c r="H333" i="5"/>
  <c r="H329" i="5"/>
  <c r="H325" i="5"/>
  <c r="H322" i="5"/>
  <c r="H321" i="5"/>
  <c r="H320" i="5"/>
  <c r="H313" i="5"/>
  <c r="H309" i="5"/>
  <c r="H308" i="5" s="1"/>
  <c r="H298" i="5"/>
  <c r="H291" i="5"/>
  <c r="H290" i="5" s="1"/>
  <c r="H289" i="5" s="1"/>
  <c r="H287" i="5"/>
  <c r="H284" i="5"/>
  <c r="H283" i="5"/>
  <c r="H282" i="5" s="1"/>
  <c r="H281" i="5" s="1"/>
  <c r="H276" i="5"/>
  <c r="H272" i="5"/>
  <c r="H273" i="5" s="1"/>
  <c r="H268" i="5"/>
  <c r="H256" i="5"/>
  <c r="H253" i="5"/>
  <c r="H252" i="5"/>
  <c r="H251" i="5"/>
  <c r="H248" i="5"/>
  <c r="H247" i="5" s="1"/>
  <c r="H246" i="5" s="1"/>
  <c r="H239" i="5"/>
  <c r="H223" i="5"/>
  <c r="H219" i="5"/>
  <c r="H202" i="5"/>
  <c r="H198" i="5"/>
  <c r="H182" i="5"/>
  <c r="H181" i="5" s="1"/>
  <c r="H169" i="5"/>
  <c r="H168" i="5"/>
  <c r="H119" i="5"/>
  <c r="H120" i="5" s="1"/>
  <c r="H107" i="5"/>
  <c r="H106" i="5" s="1"/>
  <c r="H99" i="5"/>
  <c r="H73" i="5"/>
  <c r="H65" i="5"/>
  <c r="H27" i="5"/>
  <c r="H26" i="5"/>
  <c r="H24" i="5"/>
  <c r="H25" i="5" s="1"/>
  <c r="H22" i="5"/>
  <c r="H21" i="5" s="1"/>
  <c r="H15" i="5"/>
  <c r="E185" i="1"/>
  <c r="E184" i="1"/>
  <c r="E172" i="1"/>
  <c r="E168" i="1"/>
  <c r="E163" i="1"/>
  <c r="E161" i="1"/>
  <c r="E159" i="1"/>
  <c r="E158" i="1"/>
  <c r="E156" i="1"/>
  <c r="E154" i="1"/>
  <c r="E152" i="1"/>
  <c r="E151" i="1"/>
  <c r="E150" i="1"/>
  <c r="E149" i="1"/>
  <c r="E146" i="1"/>
  <c r="E145" i="1"/>
  <c r="E144" i="1"/>
  <c r="E143" i="1"/>
  <c r="E137" i="1"/>
  <c r="E136" i="1"/>
  <c r="E134" i="1"/>
  <c r="E131" i="1"/>
  <c r="E128" i="1"/>
  <c r="E124" i="1"/>
  <c r="E123" i="1"/>
  <c r="E122" i="1"/>
  <c r="E119" i="1"/>
  <c r="E117" i="1"/>
  <c r="E115" i="1"/>
  <c r="E113" i="1"/>
  <c r="E111" i="1"/>
  <c r="E109" i="1"/>
  <c r="E107" i="1"/>
  <c r="E104" i="1"/>
  <c r="E100" i="1"/>
  <c r="E80" i="1"/>
  <c r="E77" i="1"/>
  <c r="E75" i="1"/>
  <c r="E73" i="1"/>
  <c r="E48" i="1"/>
  <c r="E42" i="1"/>
  <c r="E39" i="1"/>
  <c r="E37" i="1"/>
  <c r="E34" i="1"/>
  <c r="E31" i="1"/>
  <c r="E26" i="1"/>
  <c r="E15" i="1"/>
  <c r="E14" i="1"/>
  <c r="E13" i="1"/>
  <c r="D182" i="1"/>
  <c r="D181" i="1" s="1"/>
  <c r="D177" i="1"/>
  <c r="D174" i="1" s="1"/>
  <c r="D173" i="1" s="1"/>
  <c r="D171" i="1"/>
  <c r="D169" i="1"/>
  <c r="D167" i="1"/>
  <c r="D164" i="1"/>
  <c r="D162" i="1"/>
  <c r="D160" i="1"/>
  <c r="D140" i="1"/>
  <c r="D121" i="1"/>
  <c r="D120" i="1" s="1"/>
  <c r="D118" i="1"/>
  <c r="D116" i="1"/>
  <c r="D114" i="1"/>
  <c r="D110" i="1"/>
  <c r="D108" i="1"/>
  <c r="D103" i="1"/>
  <c r="D101" i="1"/>
  <c r="D98" i="1"/>
  <c r="D79" i="1"/>
  <c r="D78" i="1" s="1"/>
  <c r="D76" i="1"/>
  <c r="D72" i="1"/>
  <c r="D68" i="1"/>
  <c r="D66" i="1"/>
  <c r="D61" i="1"/>
  <c r="D60" i="1" s="1"/>
  <c r="D57" i="1"/>
  <c r="D54" i="1" s="1"/>
  <c r="D53" i="1" s="1"/>
  <c r="D49" i="1"/>
  <c r="D47" i="1"/>
  <c r="D41" i="1"/>
  <c r="D40" i="1" s="1"/>
  <c r="D38" i="1"/>
  <c r="D36" i="1"/>
  <c r="D33" i="1"/>
  <c r="D25" i="1"/>
  <c r="D23" i="1"/>
  <c r="D16" i="1"/>
  <c r="D11" i="1"/>
  <c r="D10" i="1" s="1"/>
  <c r="F18" i="2"/>
  <c r="F53" i="2"/>
  <c r="E53" i="2"/>
  <c r="E17" i="2"/>
  <c r="G596" i="3"/>
  <c r="G595" i="3" s="1"/>
  <c r="G1072" i="3"/>
  <c r="H1072" i="3" s="1"/>
  <c r="G1075" i="3"/>
  <c r="H1075" i="3"/>
  <c r="H596" i="3"/>
  <c r="H215" i="3"/>
  <c r="H203" i="3"/>
  <c r="G1138" i="3"/>
  <c r="G1133" i="3"/>
  <c r="G1132" i="3"/>
  <c r="G1130" i="3"/>
  <c r="G1128" i="3"/>
  <c r="G1126" i="3"/>
  <c r="G1124" i="3"/>
  <c r="G1117" i="3"/>
  <c r="G1116" i="3"/>
  <c r="G1115" i="3"/>
  <c r="G1109" i="3"/>
  <c r="G1108" i="3" s="1"/>
  <c r="G1106" i="3"/>
  <c r="G1104" i="3"/>
  <c r="G1102" i="3"/>
  <c r="G1097" i="3"/>
  <c r="G1094" i="3"/>
  <c r="G1091" i="3"/>
  <c r="G1085" i="3"/>
  <c r="G1084" i="3" s="1"/>
  <c r="G1080" i="3"/>
  <c r="G1079" i="3" s="1"/>
  <c r="G1074" i="3"/>
  <c r="G1071" i="3"/>
  <c r="G1068" i="3"/>
  <c r="G1064" i="3"/>
  <c r="G1061" i="3"/>
  <c r="G1057" i="3"/>
  <c r="G1055" i="3"/>
  <c r="G1054" i="3"/>
  <c r="G1052" i="3"/>
  <c r="G1050" i="3"/>
  <c r="G1049" i="3"/>
  <c r="G1048" i="3"/>
  <c r="G1047" i="3"/>
  <c r="G1046" i="3"/>
  <c r="G1044" i="3"/>
  <c r="G1043" i="3"/>
  <c r="G1040" i="3"/>
  <c r="G1037" i="3"/>
  <c r="G1034" i="3"/>
  <c r="G1028" i="3"/>
  <c r="G1017" i="3"/>
  <c r="G1015" i="3"/>
  <c r="G1009" i="3"/>
  <c r="G999" i="3"/>
  <c r="G992" i="3"/>
  <c r="H88" i="5" s="1"/>
  <c r="G988" i="3"/>
  <c r="H81" i="5" s="1"/>
  <c r="G983" i="3"/>
  <c r="G978" i="3"/>
  <c r="G971" i="3"/>
  <c r="G964" i="3"/>
  <c r="G958" i="3"/>
  <c r="G955" i="3"/>
  <c r="G954" i="3"/>
  <c r="G953" i="3"/>
  <c r="G952" i="3"/>
  <c r="G951" i="3"/>
  <c r="G950" i="3"/>
  <c r="G946" i="3"/>
  <c r="G943" i="3"/>
  <c r="G940" i="3"/>
  <c r="G938" i="3"/>
  <c r="G932" i="3"/>
  <c r="G927" i="3"/>
  <c r="G926" i="3" s="1"/>
  <c r="G922" i="3"/>
  <c r="G919" i="3"/>
  <c r="G918" i="3"/>
  <c r="G916" i="3"/>
  <c r="G912" i="3"/>
  <c r="G909" i="3"/>
  <c r="G905" i="3"/>
  <c r="G904" i="3" s="1"/>
  <c r="G901" i="3"/>
  <c r="G900" i="3" s="1"/>
  <c r="G897" i="3"/>
  <c r="G896" i="3"/>
  <c r="G895" i="3"/>
  <c r="G894" i="3"/>
  <c r="G893" i="3"/>
  <c r="G892" i="3"/>
  <c r="G888" i="3"/>
  <c r="G884" i="3"/>
  <c r="H636" i="5" s="1"/>
  <c r="G881" i="3"/>
  <c r="G877" i="3"/>
  <c r="H625" i="5" s="1"/>
  <c r="G873" i="3"/>
  <c r="G872" i="3"/>
  <c r="G870" i="3"/>
  <c r="H614" i="5" s="1"/>
  <c r="G868" i="3"/>
  <c r="H611" i="5" s="1"/>
  <c r="G864" i="3"/>
  <c r="G862" i="3"/>
  <c r="G860" i="3"/>
  <c r="G852" i="3"/>
  <c r="G849" i="3"/>
  <c r="G848" i="3"/>
  <c r="G847" i="3"/>
  <c r="G846" i="3"/>
  <c r="G845" i="3"/>
  <c r="G844" i="3"/>
  <c r="G841" i="3"/>
  <c r="G840" i="3"/>
  <c r="G836" i="3"/>
  <c r="G833" i="3"/>
  <c r="G830" i="3"/>
  <c r="G828" i="3"/>
  <c r="G822" i="3"/>
  <c r="H452" i="5" s="1"/>
  <c r="H451" i="5" s="1"/>
  <c r="G819" i="3"/>
  <c r="G818" i="3" s="1"/>
  <c r="G813" i="3"/>
  <c r="G812" i="3" s="1"/>
  <c r="G809" i="3"/>
  <c r="H50" i="5" s="1"/>
  <c r="H51" i="5" s="1"/>
  <c r="G808" i="3"/>
  <c r="G803" i="3"/>
  <c r="H40" i="5" s="1"/>
  <c r="H41" i="5" s="1"/>
  <c r="G802" i="3"/>
  <c r="G793" i="3"/>
  <c r="G790" i="3"/>
  <c r="G785" i="3"/>
  <c r="G784" i="3" s="1"/>
  <c r="G782" i="3"/>
  <c r="G779" i="3"/>
  <c r="G776" i="3"/>
  <c r="G772" i="3"/>
  <c r="G771" i="3" s="1"/>
  <c r="G770" i="3"/>
  <c r="G766" i="3"/>
  <c r="G762" i="3"/>
  <c r="G758" i="3"/>
  <c r="G756" i="3"/>
  <c r="G754" i="3"/>
  <c r="G748" i="3"/>
  <c r="G745" i="3"/>
  <c r="G741" i="3"/>
  <c r="G736" i="3"/>
  <c r="G733" i="3"/>
  <c r="G730" i="3"/>
  <c r="G727" i="3"/>
  <c r="G723" i="3"/>
  <c r="H191" i="5" s="1"/>
  <c r="G722" i="3"/>
  <c r="G716" i="3"/>
  <c r="G711" i="3"/>
  <c r="G706" i="3"/>
  <c r="G703" i="3"/>
  <c r="G699" i="3"/>
  <c r="G692" i="3"/>
  <c r="G689" i="3"/>
  <c r="G688" i="3"/>
  <c r="G685" i="3"/>
  <c r="G682" i="3"/>
  <c r="G681" i="3" s="1"/>
  <c r="G678" i="3"/>
  <c r="G677" i="3" s="1"/>
  <c r="G675" i="3"/>
  <c r="H373" i="5" s="1"/>
  <c r="G671" i="3"/>
  <c r="G670" i="3" s="1"/>
  <c r="G669" i="3"/>
  <c r="G668" i="3"/>
  <c r="G667" i="3"/>
  <c r="G664" i="3"/>
  <c r="H355" i="5" s="1"/>
  <c r="G663" i="3"/>
  <c r="G661" i="3"/>
  <c r="H351" i="5" s="1"/>
  <c r="G657" i="3"/>
  <c r="G654" i="3"/>
  <c r="G653" i="3"/>
  <c r="G650" i="3"/>
  <c r="G649" i="3"/>
  <c r="G647" i="3"/>
  <c r="G644" i="3"/>
  <c r="G643" i="3" s="1"/>
  <c r="G641" i="3"/>
  <c r="G636" i="3"/>
  <c r="G633" i="3"/>
  <c r="G630" i="3"/>
  <c r="H235" i="5" s="1"/>
  <c r="H236" i="5" s="1"/>
  <c r="G627" i="3"/>
  <c r="H231" i="5" s="1"/>
  <c r="G624" i="3"/>
  <c r="G621" i="3"/>
  <c r="G620" i="3" s="1"/>
  <c r="G618" i="3"/>
  <c r="G614" i="3"/>
  <c r="H186" i="5" s="1"/>
  <c r="G611" i="3"/>
  <c r="G608" i="3"/>
  <c r="H178" i="5" s="1"/>
  <c r="H179" i="5" s="1"/>
  <c r="G607" i="3"/>
  <c r="G606" i="3" s="1"/>
  <c r="G601" i="3"/>
  <c r="G593" i="3"/>
  <c r="G592" i="3" s="1"/>
  <c r="G589" i="3"/>
  <c r="G588" i="3" s="1"/>
  <c r="G584" i="3"/>
  <c r="H302" i="5" s="1"/>
  <c r="G581" i="3"/>
  <c r="G577" i="3"/>
  <c r="G576" i="3" s="1"/>
  <c r="G574" i="3"/>
  <c r="G571" i="3"/>
  <c r="G570" i="3" s="1"/>
  <c r="G567" i="3"/>
  <c r="G566" i="3"/>
  <c r="G564" i="3"/>
  <c r="G561" i="3"/>
  <c r="G556" i="3"/>
  <c r="H214" i="5" s="1"/>
  <c r="G553" i="3"/>
  <c r="G552" i="3" s="1"/>
  <c r="G550" i="3"/>
  <c r="H206" i="5" s="1"/>
  <c r="G547" i="3"/>
  <c r="G546" i="3"/>
  <c r="G544" i="3"/>
  <c r="G540" i="3"/>
  <c r="H173" i="5" s="1"/>
  <c r="G537" i="3"/>
  <c r="G536" i="3"/>
  <c r="G529" i="3"/>
  <c r="G528" i="3"/>
  <c r="G524" i="3"/>
  <c r="G521" i="3"/>
  <c r="G519" i="3"/>
  <c r="G515" i="3"/>
  <c r="G512" i="3"/>
  <c r="G510" i="3"/>
  <c r="G505" i="3"/>
  <c r="G502" i="3"/>
  <c r="G499" i="3"/>
  <c r="G498" i="3"/>
  <c r="G497" i="3"/>
  <c r="G496" i="3"/>
  <c r="G495" i="3"/>
  <c r="G494" i="3"/>
  <c r="G484" i="3"/>
  <c r="G481" i="3"/>
  <c r="H838" i="5" s="1"/>
  <c r="G477" i="3"/>
  <c r="H827" i="5" s="1"/>
  <c r="H826" i="5" s="1"/>
  <c r="G472" i="3"/>
  <c r="G471" i="3" s="1"/>
  <c r="G469" i="3"/>
  <c r="G457" i="3"/>
  <c r="G455" i="3"/>
  <c r="G454" i="3" s="1"/>
  <c r="G452" i="3"/>
  <c r="G446" i="3"/>
  <c r="G445" i="3" s="1"/>
  <c r="G444" i="3"/>
  <c r="G433" i="3"/>
  <c r="G432" i="3" s="1"/>
  <c r="G429" i="3"/>
  <c r="G425" i="3"/>
  <c r="H897" i="5" s="1"/>
  <c r="G421" i="3"/>
  <c r="G417" i="3"/>
  <c r="G413" i="3"/>
  <c r="G412" i="3" s="1"/>
  <c r="G409" i="3"/>
  <c r="G404" i="3"/>
  <c r="G401" i="3"/>
  <c r="G400" i="3" s="1"/>
  <c r="G399" i="3"/>
  <c r="G398" i="3" s="1"/>
  <c r="G396" i="3"/>
  <c r="G391" i="3"/>
  <c r="G387" i="3"/>
  <c r="G384" i="3"/>
  <c r="G382" i="3"/>
  <c r="G381" i="3" s="1"/>
  <c r="G379" i="3"/>
  <c r="G378" i="3"/>
  <c r="G376" i="3"/>
  <c r="G374" i="3"/>
  <c r="G365" i="3"/>
  <c r="G364" i="3"/>
  <c r="G362" i="3"/>
  <c r="G359" i="3"/>
  <c r="G357" i="3"/>
  <c r="G350" i="3"/>
  <c r="H464" i="5" s="1"/>
  <c r="H463" i="5" s="1"/>
  <c r="G347" i="3"/>
  <c r="H460" i="5" s="1"/>
  <c r="G346" i="3"/>
  <c r="G338" i="3"/>
  <c r="G335" i="3"/>
  <c r="G324" i="3"/>
  <c r="G321" i="3"/>
  <c r="H115" i="5" s="1"/>
  <c r="G315" i="3"/>
  <c r="G310" i="3"/>
  <c r="G308" i="3"/>
  <c r="G307" i="3" s="1"/>
  <c r="G302" i="3"/>
  <c r="G300" i="3"/>
  <c r="G298" i="3"/>
  <c r="G297" i="3" s="1"/>
  <c r="G294" i="3"/>
  <c r="G288" i="3"/>
  <c r="G287" i="3" s="1"/>
  <c r="G286" i="3" s="1"/>
  <c r="G278" i="3"/>
  <c r="H854" i="5" s="1"/>
  <c r="G277" i="3"/>
  <c r="G275" i="3"/>
  <c r="G268" i="3"/>
  <c r="G267" i="3" s="1"/>
  <c r="G265" i="3"/>
  <c r="G264" i="3"/>
  <c r="G263" i="3"/>
  <c r="G262" i="3"/>
  <c r="G259" i="3"/>
  <c r="G256" i="3"/>
  <c r="G255" i="3"/>
  <c r="G254" i="3" s="1"/>
  <c r="G249" i="3"/>
  <c r="G242" i="3"/>
  <c r="G237" i="3"/>
  <c r="G227" i="3"/>
  <c r="G223" i="3"/>
  <c r="G222" i="3" s="1"/>
  <c r="G214" i="3"/>
  <c r="G212" i="3"/>
  <c r="G211" i="3" s="1"/>
  <c r="G210" i="3" s="1"/>
  <c r="G206" i="3"/>
  <c r="G202" i="3"/>
  <c r="G201" i="3"/>
  <c r="G200" i="3"/>
  <c r="G199" i="3"/>
  <c r="G195" i="3"/>
  <c r="H160" i="5" s="1"/>
  <c r="G192" i="3"/>
  <c r="H156" i="5" s="1"/>
  <c r="H157" i="5" s="1"/>
  <c r="G183" i="3"/>
  <c r="G182" i="3" s="1"/>
  <c r="G181" i="3"/>
  <c r="G177" i="3"/>
  <c r="G171" i="3"/>
  <c r="G170" i="3" s="1"/>
  <c r="G169" i="3" s="1"/>
  <c r="G167" i="3"/>
  <c r="G166" i="3" s="1"/>
  <c r="G163" i="3"/>
  <c r="G161" i="3"/>
  <c r="G158" i="3"/>
  <c r="G157" i="3"/>
  <c r="G152" i="3"/>
  <c r="G151" i="3"/>
  <c r="G149" i="3"/>
  <c r="G141" i="3"/>
  <c r="G138" i="3"/>
  <c r="G137" i="3" s="1"/>
  <c r="G133" i="3"/>
  <c r="G131" i="3"/>
  <c r="G127" i="3"/>
  <c r="G126" i="3" s="1"/>
  <c r="G119" i="3"/>
  <c r="G118" i="3" s="1"/>
  <c r="G113" i="3"/>
  <c r="H502" i="5" s="1"/>
  <c r="G110" i="3"/>
  <c r="G109" i="3"/>
  <c r="G106" i="3"/>
  <c r="H491" i="5" s="1"/>
  <c r="G105" i="3"/>
  <c r="G104" i="3"/>
  <c r="H488" i="5" s="1"/>
  <c r="H489" i="5" s="1"/>
  <c r="G103" i="3"/>
  <c r="G100" i="3"/>
  <c r="H472" i="5" s="1"/>
  <c r="G99" i="3"/>
  <c r="G95" i="3"/>
  <c r="G92" i="3"/>
  <c r="G90" i="3"/>
  <c r="G87" i="3"/>
  <c r="G85" i="3"/>
  <c r="G80" i="3"/>
  <c r="G77" i="3"/>
  <c r="G74" i="3"/>
  <c r="G73" i="3"/>
  <c r="G71" i="3"/>
  <c r="G70" i="3" s="1"/>
  <c r="G66" i="3"/>
  <c r="G62" i="3"/>
  <c r="G59" i="3"/>
  <c r="G56" i="3"/>
  <c r="G55" i="3" s="1"/>
  <c r="G53" i="3"/>
  <c r="G49" i="3"/>
  <c r="G48" i="3" s="1"/>
  <c r="G47" i="3"/>
  <c r="G41" i="3"/>
  <c r="G38" i="3"/>
  <c r="G37" i="3"/>
  <c r="G36" i="3"/>
  <c r="G35" i="3" s="1"/>
  <c r="G30" i="3"/>
  <c r="H483" i="5" s="1"/>
  <c r="G29" i="3"/>
  <c r="G28" i="3" s="1"/>
  <c r="G27" i="3"/>
  <c r="G22" i="3"/>
  <c r="G21" i="3" s="1"/>
  <c r="G14" i="3"/>
  <c r="H530" i="4"/>
  <c r="H361" i="5" l="1"/>
  <c r="H360" i="5" s="1"/>
  <c r="H548" i="5"/>
  <c r="H694" i="5"/>
  <c r="H778" i="5"/>
  <c r="H777" i="5" s="1"/>
  <c r="H828" i="5"/>
  <c r="H920" i="5"/>
  <c r="H925" i="5"/>
  <c r="H1035" i="5"/>
  <c r="H1034" i="5" s="1"/>
  <c r="H23" i="5"/>
  <c r="H118" i="5"/>
  <c r="H465" i="5"/>
  <c r="H774" i="5"/>
  <c r="D97" i="1"/>
  <c r="H501" i="5"/>
  <c r="H503" i="5"/>
  <c r="G416" i="3"/>
  <c r="H883" i="5"/>
  <c r="H825" i="5"/>
  <c r="H230" i="5"/>
  <c r="H232" i="5"/>
  <c r="H307" i="5"/>
  <c r="H867" i="5"/>
  <c r="H931" i="5"/>
  <c r="H929" i="5"/>
  <c r="H492" i="5"/>
  <c r="H461" i="5"/>
  <c r="H459" i="5"/>
  <c r="G420" i="3"/>
  <c r="H890" i="5"/>
  <c r="H80" i="5"/>
  <c r="H16" i="5"/>
  <c r="H14" i="5"/>
  <c r="H13" i="5" s="1"/>
  <c r="H12" i="5" s="1"/>
  <c r="H11" i="5" s="1"/>
  <c r="H201" i="5"/>
  <c r="H203" i="5"/>
  <c r="H554" i="5"/>
  <c r="H552" i="5"/>
  <c r="H924" i="5"/>
  <c r="G334" i="3"/>
  <c r="H137" i="5"/>
  <c r="H462" i="5"/>
  <c r="H896" i="5"/>
  <c r="H172" i="5"/>
  <c r="H205" i="5"/>
  <c r="H207" i="5"/>
  <c r="H610" i="5"/>
  <c r="H612" i="5"/>
  <c r="H626" i="5"/>
  <c r="H624" i="5"/>
  <c r="H89" i="5"/>
  <c r="H180" i="5"/>
  <c r="H218" i="5"/>
  <c r="H277" i="5"/>
  <c r="H547" i="5"/>
  <c r="H641" i="5"/>
  <c r="H706" i="5"/>
  <c r="H704" i="5"/>
  <c r="H817" i="5"/>
  <c r="H815" i="5"/>
  <c r="H843" i="5"/>
  <c r="H841" i="5"/>
  <c r="H187" i="5"/>
  <c r="H190" i="5"/>
  <c r="H637" i="5"/>
  <c r="H117" i="5"/>
  <c r="H167" i="5"/>
  <c r="H338" i="5"/>
  <c r="H439" i="5"/>
  <c r="H441" i="5"/>
  <c r="H588" i="5"/>
  <c r="H590" i="5"/>
  <c r="H670" i="5"/>
  <c r="H672" i="5"/>
  <c r="H471" i="5"/>
  <c r="H473" i="5"/>
  <c r="H161" i="5"/>
  <c r="H303" i="5"/>
  <c r="H98" i="5"/>
  <c r="H288" i="5"/>
  <c r="H286" i="5"/>
  <c r="H736" i="5"/>
  <c r="H734" i="5"/>
  <c r="H783" i="5"/>
  <c r="G26" i="3"/>
  <c r="G25" i="3" s="1"/>
  <c r="G24" i="3" s="1"/>
  <c r="H479" i="5"/>
  <c r="H487" i="5"/>
  <c r="H114" i="5"/>
  <c r="H116" i="5"/>
  <c r="H243" i="5"/>
  <c r="G635" i="3"/>
  <c r="H64" i="5"/>
  <c r="H267" i="5"/>
  <c r="H269" i="5"/>
  <c r="H364" i="5"/>
  <c r="H450" i="5"/>
  <c r="H687" i="5"/>
  <c r="H695" i="5"/>
  <c r="H911" i="5"/>
  <c r="H943" i="5"/>
  <c r="H941" i="5"/>
  <c r="H995" i="5"/>
  <c r="H234" i="5"/>
  <c r="H453" i="5"/>
  <c r="H170" i="5"/>
  <c r="H238" i="5"/>
  <c r="H312" i="5"/>
  <c r="H367" i="5"/>
  <c r="H428" i="5"/>
  <c r="H497" i="5"/>
  <c r="H656" i="5"/>
  <c r="H762" i="5"/>
  <c r="H786" i="5"/>
  <c r="H870" i="5"/>
  <c r="H973" i="5"/>
  <c r="H984" i="5"/>
  <c r="H801" i="5"/>
  <c r="H855" i="5"/>
  <c r="G428" i="3"/>
  <c r="G427" i="3" s="1"/>
  <c r="H904" i="5"/>
  <c r="G623" i="3"/>
  <c r="H227" i="5"/>
  <c r="G880" i="3"/>
  <c r="H632" i="5"/>
  <c r="H20" i="5"/>
  <c r="H28" i="5"/>
  <c r="H57" i="5"/>
  <c r="H177" i="5"/>
  <c r="H197" i="5"/>
  <c r="H210" i="5"/>
  <c r="H250" i="5"/>
  <c r="H376" i="5"/>
  <c r="H387" i="5"/>
  <c r="H526" i="5"/>
  <c r="H600" i="5"/>
  <c r="H712" i="5"/>
  <c r="H751" i="5"/>
  <c r="H771" i="5"/>
  <c r="H799" i="5"/>
  <c r="H876" i="5"/>
  <c r="H978" i="5"/>
  <c r="H1033" i="5"/>
  <c r="H72" i="5"/>
  <c r="H105" i="5"/>
  <c r="H183" i="5"/>
  <c r="H222" i="5"/>
  <c r="H409" i="5"/>
  <c r="H520" i="5"/>
  <c r="H776" i="5"/>
  <c r="H849" i="5"/>
  <c r="H851" i="5"/>
  <c r="H936" i="5"/>
  <c r="H484" i="5"/>
  <c r="G337" i="3"/>
  <c r="G336" i="3" s="1"/>
  <c r="H141" i="5"/>
  <c r="H837" i="5"/>
  <c r="H215" i="5"/>
  <c r="H249" i="5"/>
  <c r="H257" i="5"/>
  <c r="H299" i="5"/>
  <c r="H319" i="5"/>
  <c r="H343" i="5"/>
  <c r="H385" i="5"/>
  <c r="H411" i="5"/>
  <c r="H434" i="5"/>
  <c r="H499" i="5"/>
  <c r="H522" i="5"/>
  <c r="H565" i="5"/>
  <c r="H577" i="5"/>
  <c r="H650" i="5"/>
  <c r="H658" i="5"/>
  <c r="H691" i="5"/>
  <c r="H726" i="5"/>
  <c r="H747" i="5"/>
  <c r="H769" i="5"/>
  <c r="H824" i="5"/>
  <c r="H917" i="5"/>
  <c r="H939" i="5"/>
  <c r="H963" i="5"/>
  <c r="H976" i="5"/>
  <c r="H986" i="5"/>
  <c r="D71" i="1"/>
  <c r="D70" i="1" s="1"/>
  <c r="D139" i="1"/>
  <c r="H271" i="5"/>
  <c r="H416" i="5"/>
  <c r="H447" i="5"/>
  <c r="H655" i="5"/>
  <c r="H665" i="5"/>
  <c r="H679" i="5"/>
  <c r="H955" i="5"/>
  <c r="H966" i="5"/>
  <c r="H1005" i="5"/>
  <c r="H422" i="5"/>
  <c r="H573" i="5"/>
  <c r="H619" i="5"/>
  <c r="H683" i="5"/>
  <c r="H709" i="5"/>
  <c r="H719" i="5"/>
  <c r="H741" i="5"/>
  <c r="H795" i="5"/>
  <c r="H819" i="5"/>
  <c r="H959" i="5"/>
  <c r="H971" i="5"/>
  <c r="H990" i="5"/>
  <c r="H1027" i="5"/>
  <c r="H1038" i="5"/>
  <c r="H27" i="6"/>
  <c r="H19" i="6"/>
  <c r="H35" i="6"/>
  <c r="H10" i="5"/>
  <c r="H49" i="5"/>
  <c r="H82" i="5"/>
  <c r="H138" i="5"/>
  <c r="H159" i="5"/>
  <c r="H174" i="5"/>
  <c r="H192" i="5"/>
  <c r="H213" i="5"/>
  <c r="H240" i="5"/>
  <c r="H292" i="5"/>
  <c r="H301" i="5"/>
  <c r="H356" i="5"/>
  <c r="H354" i="5"/>
  <c r="H39" i="5"/>
  <c r="H87" i="5"/>
  <c r="H155" i="5"/>
  <c r="H185" i="5"/>
  <c r="H209" i="5"/>
  <c r="H255" i="5"/>
  <c r="H275" i="5"/>
  <c r="H297" i="5"/>
  <c r="H352" i="5"/>
  <c r="H350" i="5"/>
  <c r="H535" i="5"/>
  <c r="H533" i="5"/>
  <c r="H599" i="5"/>
  <c r="H597" i="5"/>
  <c r="H884" i="5"/>
  <c r="H1003" i="5"/>
  <c r="H326" i="5"/>
  <c r="H324" i="5"/>
  <c r="H334" i="5"/>
  <c r="H332" i="5"/>
  <c r="H374" i="5"/>
  <c r="H372" i="5"/>
  <c r="H396" i="5"/>
  <c r="H394" i="5"/>
  <c r="H539" i="5"/>
  <c r="H537" i="5"/>
  <c r="H543" i="5"/>
  <c r="H541" i="5"/>
  <c r="H605" i="5"/>
  <c r="H603" i="5"/>
  <c r="H330" i="5"/>
  <c r="H328" i="5"/>
  <c r="H400" i="5"/>
  <c r="H398" i="5"/>
  <c r="H615" i="5"/>
  <c r="H613" i="5"/>
  <c r="H482" i="5"/>
  <c r="H490" i="5"/>
  <c r="H518" i="5"/>
  <c r="H839" i="5"/>
  <c r="H898" i="5"/>
  <c r="H957" i="5"/>
  <c r="H969" i="5"/>
  <c r="H992" i="5"/>
  <c r="H561" i="5"/>
  <c r="H559" i="5"/>
  <c r="H587" i="5"/>
  <c r="H585" i="5"/>
  <c r="H617" i="5"/>
  <c r="H635" i="5"/>
  <c r="H653" i="5"/>
  <c r="H663" i="5"/>
  <c r="H677" i="5"/>
  <c r="H681" i="5"/>
  <c r="H707" i="5"/>
  <c r="H717" i="5"/>
  <c r="H745" i="5"/>
  <c r="H749" i="5"/>
  <c r="H753" i="5"/>
  <c r="H767" i="5"/>
  <c r="H793" i="5"/>
  <c r="H797" i="5"/>
  <c r="H853" i="5"/>
  <c r="H953" i="5"/>
  <c r="G1051" i="3"/>
  <c r="G13" i="3"/>
  <c r="G46" i="3"/>
  <c r="G94" i="3"/>
  <c r="G132" i="3"/>
  <c r="G386" i="3"/>
  <c r="G397" i="3"/>
  <c r="G415" i="3"/>
  <c r="G476" i="3"/>
  <c r="G518" i="3"/>
  <c r="G560" i="3"/>
  <c r="G629" i="3"/>
  <c r="G662" i="3"/>
  <c r="G676" i="3"/>
  <c r="G684" i="3"/>
  <c r="G783" i="3"/>
  <c r="G917" i="3"/>
  <c r="G998" i="3"/>
  <c r="G1016" i="3"/>
  <c r="G1056" i="3"/>
  <c r="G76" i="3"/>
  <c r="G86" i="3"/>
  <c r="G98" i="3"/>
  <c r="G112" i="3"/>
  <c r="G156" i="3"/>
  <c r="G191" i="3"/>
  <c r="G213" i="3"/>
  <c r="G301" i="3"/>
  <c r="G345" i="3"/>
  <c r="G358" i="3"/>
  <c r="G390" i="3"/>
  <c r="G408" i="3"/>
  <c r="G468" i="3"/>
  <c r="G480" i="3"/>
  <c r="G493" i="3"/>
  <c r="G520" i="3"/>
  <c r="G535" i="3"/>
  <c r="G587" i="3"/>
  <c r="G610" i="3"/>
  <c r="G622" i="3"/>
  <c r="G687" i="3"/>
  <c r="G698" i="3"/>
  <c r="G710" i="3"/>
  <c r="G726" i="3"/>
  <c r="G775" i="3"/>
  <c r="G801" i="3"/>
  <c r="G827" i="3"/>
  <c r="G839" i="3"/>
  <c r="G851" i="3"/>
  <c r="G867" i="3"/>
  <c r="G883" i="3"/>
  <c r="G908" i="3"/>
  <c r="G963" i="3"/>
  <c r="G1127" i="3"/>
  <c r="G1137" i="3"/>
  <c r="G58" i="3"/>
  <c r="G79" i="3"/>
  <c r="G89" i="3"/>
  <c r="G125" i="3"/>
  <c r="G136" i="3"/>
  <c r="G241" i="3"/>
  <c r="G258" i="3"/>
  <c r="G293" i="3"/>
  <c r="G411" i="3"/>
  <c r="G443" i="3"/>
  <c r="G483" i="3"/>
  <c r="G511" i="3"/>
  <c r="G523" i="3"/>
  <c r="G565" i="3"/>
  <c r="G600" i="3"/>
  <c r="G613" i="3"/>
  <c r="G634" i="3"/>
  <c r="G642" i="3"/>
  <c r="G648" i="3"/>
  <c r="G656" i="3"/>
  <c r="G666" i="3"/>
  <c r="G680" i="3"/>
  <c r="G702" i="3"/>
  <c r="G715" i="3"/>
  <c r="G729" i="3"/>
  <c r="G740" i="3"/>
  <c r="G778" i="3"/>
  <c r="G789" i="3"/>
  <c r="G887" i="3"/>
  <c r="G937" i="3"/>
  <c r="G949" i="3"/>
  <c r="G1008" i="3"/>
  <c r="G1096" i="3"/>
  <c r="G1107" i="3"/>
  <c r="G54" i="3"/>
  <c r="G65" i="3"/>
  <c r="G140" i="3"/>
  <c r="G226" i="3"/>
  <c r="G299" i="3"/>
  <c r="G356" i="3"/>
  <c r="G403" i="3"/>
  <c r="G424" i="3"/>
  <c r="G504" i="3"/>
  <c r="G569" i="3"/>
  <c r="G575" i="3"/>
  <c r="G652" i="3"/>
  <c r="G20" i="3"/>
  <c r="G34" i="3"/>
  <c r="G40" i="3"/>
  <c r="G61" i="3"/>
  <c r="G72" i="3"/>
  <c r="G91" i="3"/>
  <c r="G102" i="3"/>
  <c r="G108" i="3"/>
  <c r="G150" i="3"/>
  <c r="G160" i="3"/>
  <c r="G198" i="3"/>
  <c r="G221" i="3"/>
  <c r="G261" i="3"/>
  <c r="G260" i="3" s="1"/>
  <c r="G266" i="3"/>
  <c r="G276" i="3"/>
  <c r="G285" i="3"/>
  <c r="G309" i="3"/>
  <c r="G323" i="3"/>
  <c r="G333" i="3"/>
  <c r="G349" i="3"/>
  <c r="G363" i="3"/>
  <c r="G375" i="3"/>
  <c r="G383" i="3"/>
  <c r="G380" i="3" s="1"/>
  <c r="G419" i="3"/>
  <c r="G431" i="3"/>
  <c r="G501" i="3"/>
  <c r="G514" i="3"/>
  <c r="G527" i="3"/>
  <c r="G545" i="3"/>
  <c r="G551" i="3"/>
  <c r="G580" i="3"/>
  <c r="G591" i="3"/>
  <c r="G617" i="3"/>
  <c r="G626" i="3"/>
  <c r="G691" i="3"/>
  <c r="G732" i="3"/>
  <c r="G744" i="3"/>
  <c r="G757" i="3"/>
  <c r="G769" i="3"/>
  <c r="G792" i="3"/>
  <c r="G832" i="3"/>
  <c r="G843" i="3"/>
  <c r="G861" i="3"/>
  <c r="G871" i="3"/>
  <c r="G879" i="3"/>
  <c r="G903" i="3"/>
  <c r="G925" i="3"/>
  <c r="G911" i="3"/>
  <c r="G942" i="3"/>
  <c r="G1014" i="3"/>
  <c r="G1027" i="3"/>
  <c r="G1053" i="3"/>
  <c r="G1070" i="3"/>
  <c r="G1083" i="3"/>
  <c r="G1103" i="3"/>
  <c r="G1123" i="3"/>
  <c r="G1131" i="3"/>
  <c r="G84" i="3"/>
  <c r="G130" i="3"/>
  <c r="G148" i="3"/>
  <c r="G180" i="3"/>
  <c r="G205" i="3"/>
  <c r="G236" i="3"/>
  <c r="G248" i="3"/>
  <c r="G274" i="3"/>
  <c r="G320" i="3"/>
  <c r="G377" i="3"/>
  <c r="G543" i="3"/>
  <c r="G549" i="3"/>
  <c r="G555" i="3"/>
  <c r="G563" i="3"/>
  <c r="G583" i="3"/>
  <c r="G619" i="3"/>
  <c r="G660" i="3"/>
  <c r="G674" i="3"/>
  <c r="G705" i="3"/>
  <c r="G747" i="3"/>
  <c r="G761" i="3"/>
  <c r="G781" i="3"/>
  <c r="G817" i="3"/>
  <c r="G829" i="3"/>
  <c r="G876" i="3"/>
  <c r="G899" i="3"/>
  <c r="G915" i="3"/>
  <c r="G945" i="3"/>
  <c r="G957" i="3"/>
  <c r="G1063" i="3"/>
  <c r="G1093" i="3"/>
  <c r="G1114" i="3"/>
  <c r="G1125" i="3"/>
  <c r="G52" i="3"/>
  <c r="G162" i="3"/>
  <c r="G176" i="3"/>
  <c r="G194" i="3"/>
  <c r="G314" i="3"/>
  <c r="G361" i="3"/>
  <c r="G373" i="3"/>
  <c r="G395" i="3"/>
  <c r="G451" i="3"/>
  <c r="G509" i="3"/>
  <c r="G539" i="3"/>
  <c r="G573" i="3"/>
  <c r="G632" i="3"/>
  <c r="G640" i="3"/>
  <c r="G646" i="3"/>
  <c r="G721" i="3"/>
  <c r="G735" i="3"/>
  <c r="G755" i="3"/>
  <c r="G811" i="3"/>
  <c r="G821" i="3"/>
  <c r="G835" i="3"/>
  <c r="G863" i="3"/>
  <c r="G891" i="3"/>
  <c r="G939" i="3"/>
  <c r="G970" i="3"/>
  <c r="G982" i="3"/>
  <c r="G991" i="3"/>
  <c r="G1036" i="3"/>
  <c r="G1042" i="3"/>
  <c r="G1060" i="3"/>
  <c r="G1067" i="3"/>
  <c r="G1090" i="3"/>
  <c r="G1101" i="3"/>
  <c r="G753" i="3"/>
  <c r="G765" i="3"/>
  <c r="G859" i="3"/>
  <c r="G869" i="3"/>
  <c r="G921" i="3"/>
  <c r="G931" i="3"/>
  <c r="G977" i="3"/>
  <c r="G987" i="3"/>
  <c r="G1033" i="3"/>
  <c r="G1039" i="3"/>
  <c r="G1045" i="3"/>
  <c r="G1078" i="3"/>
  <c r="G1105" i="3"/>
  <c r="G1129" i="3"/>
  <c r="D180" i="1"/>
  <c r="D35" i="1"/>
  <c r="D32" i="1" s="1"/>
  <c r="D65" i="1"/>
  <c r="D46" i="1"/>
  <c r="D22" i="1"/>
  <c r="D166" i="1"/>
  <c r="G594" i="3"/>
  <c r="G1073" i="3"/>
  <c r="G1069" i="3" s="1"/>
  <c r="H852" i="5" l="1"/>
  <c r="H744" i="5"/>
  <c r="H634" i="5"/>
  <c r="H486" i="5"/>
  <c r="H393" i="5"/>
  <c r="H254" i="5"/>
  <c r="H353" i="5"/>
  <c r="H1026" i="5"/>
  <c r="H564" i="5"/>
  <c r="H848" i="5"/>
  <c r="H221" i="5"/>
  <c r="H196" i="5"/>
  <c r="H905" i="5"/>
  <c r="H311" i="5"/>
  <c r="H233" i="5"/>
  <c r="H998" i="5"/>
  <c r="H994" i="5"/>
  <c r="H910" i="5"/>
  <c r="H912" i="5"/>
  <c r="H690" i="5"/>
  <c r="H480" i="5"/>
  <c r="H891" i="5"/>
  <c r="H889" i="5"/>
  <c r="H928" i="5"/>
  <c r="H866" i="5"/>
  <c r="H306" i="5"/>
  <c r="H952" i="5"/>
  <c r="H766" i="5"/>
  <c r="H676" i="5"/>
  <c r="H481" i="5"/>
  <c r="H327" i="5"/>
  <c r="H1002" i="5"/>
  <c r="H208" i="5"/>
  <c r="H38" i="5"/>
  <c r="H45" i="5"/>
  <c r="H740" i="5"/>
  <c r="H270" i="5"/>
  <c r="H836" i="5"/>
  <c r="H977" i="5"/>
  <c r="H375" i="5"/>
  <c r="H176" i="5"/>
  <c r="H19" i="5"/>
  <c r="H983" i="5"/>
  <c r="H940" i="5"/>
  <c r="H266" i="5"/>
  <c r="H113" i="5"/>
  <c r="H782" i="5"/>
  <c r="H470" i="5"/>
  <c r="H669" i="5"/>
  <c r="H217" i="5"/>
  <c r="H171" i="5"/>
  <c r="H551" i="5"/>
  <c r="H752" i="5"/>
  <c r="H716" i="5"/>
  <c r="H662" i="5"/>
  <c r="H638" i="5"/>
  <c r="H558" i="5"/>
  <c r="H956" i="5"/>
  <c r="H478" i="5"/>
  <c r="H686" i="5"/>
  <c r="H371" i="5"/>
  <c r="H323" i="5"/>
  <c r="H532" i="5"/>
  <c r="H349" i="5"/>
  <c r="H296" i="5"/>
  <c r="H184" i="5"/>
  <c r="H300" i="5"/>
  <c r="H212" i="5"/>
  <c r="H18" i="6"/>
  <c r="H989" i="5"/>
  <c r="H962" i="5"/>
  <c r="H576" i="5"/>
  <c r="H521" i="5"/>
  <c r="H437" i="5"/>
  <c r="H142" i="5"/>
  <c r="H140" i="5"/>
  <c r="H775" i="5"/>
  <c r="H408" i="5"/>
  <c r="H877" i="5"/>
  <c r="H875" i="5"/>
  <c r="H770" i="5"/>
  <c r="H386" i="5"/>
  <c r="H211" i="5"/>
  <c r="H58" i="5"/>
  <c r="H56" i="5"/>
  <c r="H631" i="5"/>
  <c r="H228" i="5"/>
  <c r="H226" i="5"/>
  <c r="H761" i="5"/>
  <c r="H427" i="5"/>
  <c r="H237" i="5"/>
  <c r="H357" i="5"/>
  <c r="H359" i="5"/>
  <c r="H244" i="5"/>
  <c r="H242" i="5"/>
  <c r="H733" i="5"/>
  <c r="H285" i="5"/>
  <c r="H97" i="5"/>
  <c r="H189" i="5"/>
  <c r="H814" i="5"/>
  <c r="H136" i="5"/>
  <c r="H200" i="5"/>
  <c r="H458" i="5"/>
  <c r="H500" i="5"/>
  <c r="H792" i="5"/>
  <c r="H680" i="5"/>
  <c r="H584" i="5"/>
  <c r="H331" i="5"/>
  <c r="H596" i="5"/>
  <c r="H86" i="5"/>
  <c r="H572" i="5"/>
  <c r="H104" i="5"/>
  <c r="H802" i="5"/>
  <c r="H800" i="5"/>
  <c r="H972" i="5"/>
  <c r="H229" i="5"/>
  <c r="H616" i="5"/>
  <c r="H968" i="5"/>
  <c r="H540" i="5"/>
  <c r="H158" i="5"/>
  <c r="H446" i="5"/>
  <c r="H71" i="5"/>
  <c r="H903" i="5"/>
  <c r="H748" i="5"/>
  <c r="H703" i="5"/>
  <c r="H649" i="5"/>
  <c r="H640" i="5"/>
  <c r="H517" i="5"/>
  <c r="H397" i="5"/>
  <c r="H536" i="5"/>
  <c r="H274" i="5"/>
  <c r="H154" i="5"/>
  <c r="H26" i="6"/>
  <c r="H415" i="5"/>
  <c r="H342" i="5"/>
  <c r="H337" i="5" s="1"/>
  <c r="H1032" i="5"/>
  <c r="H525" i="5"/>
  <c r="H496" i="5"/>
  <c r="H63" i="5"/>
  <c r="H438" i="5"/>
  <c r="H840" i="5"/>
  <c r="H546" i="5"/>
  <c r="H623" i="5"/>
  <c r="H609" i="5"/>
  <c r="H204" i="5"/>
  <c r="H895" i="5"/>
  <c r="H79" i="5"/>
  <c r="H882" i="5"/>
  <c r="H675" i="5"/>
  <c r="H673" i="5"/>
  <c r="H739" i="5"/>
  <c r="H715" i="5"/>
  <c r="H713" i="5"/>
  <c r="H661" i="5"/>
  <c r="H659" i="5"/>
  <c r="H346" i="5"/>
  <c r="G858" i="3"/>
  <c r="G890" i="3"/>
  <c r="G834" i="3"/>
  <c r="G810" i="3"/>
  <c r="G875" i="3"/>
  <c r="G704" i="3"/>
  <c r="G562" i="3"/>
  <c r="G548" i="3"/>
  <c r="G247" i="3"/>
  <c r="G179" i="3"/>
  <c r="G83" i="3"/>
  <c r="G910" i="3"/>
  <c r="G579" i="3"/>
  <c r="G1077" i="3"/>
  <c r="G1100" i="3"/>
  <c r="G1066" i="3"/>
  <c r="G1041" i="3"/>
  <c r="G820" i="3"/>
  <c r="G645" i="3"/>
  <c r="G631" i="3"/>
  <c r="G572" i="3"/>
  <c r="G538" i="3"/>
  <c r="G1113" i="3"/>
  <c r="G956" i="3"/>
  <c r="G948" i="3" s="1"/>
  <c r="G898" i="3"/>
  <c r="G746" i="3"/>
  <c r="G554" i="3"/>
  <c r="G542" i="3"/>
  <c r="G319" i="3"/>
  <c r="G235" i="3"/>
  <c r="G1122" i="3"/>
  <c r="G1082" i="3"/>
  <c r="G418" i="3"/>
  <c r="G372" i="3"/>
  <c r="G348" i="3"/>
  <c r="G322" i="3"/>
  <c r="G284" i="3"/>
  <c r="G220" i="3"/>
  <c r="G402" i="3"/>
  <c r="G64" i="3"/>
  <c r="G1095" i="3"/>
  <c r="G936" i="3"/>
  <c r="G788" i="3"/>
  <c r="G714" i="3"/>
  <c r="G655" i="3"/>
  <c r="G508" i="3"/>
  <c r="G709" i="3"/>
  <c r="G426" i="3"/>
  <c r="G190" i="3"/>
  <c r="G111" i="3"/>
  <c r="G628" i="3"/>
  <c r="G1038" i="3"/>
  <c r="G986" i="3"/>
  <c r="G920" i="3"/>
  <c r="G1089" i="3"/>
  <c r="G1059" i="3"/>
  <c r="G1035" i="3"/>
  <c r="G990" i="3"/>
  <c r="G734" i="3"/>
  <c r="G360" i="3"/>
  <c r="G193" i="3"/>
  <c r="G914" i="3"/>
  <c r="G826" i="3"/>
  <c r="G659" i="3"/>
  <c r="G902" i="3"/>
  <c r="G743" i="3"/>
  <c r="G625" i="3"/>
  <c r="G526" i="3"/>
  <c r="G500" i="3"/>
  <c r="G39" i="3"/>
  <c r="G503" i="3"/>
  <c r="G423" i="3"/>
  <c r="G139" i="3"/>
  <c r="G777" i="3"/>
  <c r="G701" i="3"/>
  <c r="G410" i="3"/>
  <c r="G306" i="3"/>
  <c r="G240" i="3"/>
  <c r="G88" i="3"/>
  <c r="G57" i="3"/>
  <c r="G907" i="3"/>
  <c r="G866" i="3"/>
  <c r="G774" i="3"/>
  <c r="G586" i="3"/>
  <c r="G479" i="3"/>
  <c r="G407" i="3"/>
  <c r="G997" i="3"/>
  <c r="G517" i="3"/>
  <c r="G981" i="3"/>
  <c r="G639" i="3"/>
  <c r="G760" i="3"/>
  <c r="G673" i="3"/>
  <c r="G582" i="3"/>
  <c r="G1026" i="3"/>
  <c r="G690" i="3"/>
  <c r="G686" i="3" s="1"/>
  <c r="G616" i="3"/>
  <c r="G513" i="3"/>
  <c r="G430" i="3"/>
  <c r="G332" i="3"/>
  <c r="G60" i="3"/>
  <c r="G355" i="3"/>
  <c r="G1007" i="3"/>
  <c r="G886" i="3"/>
  <c r="G728" i="3"/>
  <c r="G665" i="3"/>
  <c r="G599" i="3"/>
  <c r="G522" i="3"/>
  <c r="G482" i="3"/>
  <c r="G292" i="3"/>
  <c r="G1136" i="3"/>
  <c r="G838" i="3"/>
  <c r="G725" i="3"/>
  <c r="G697" i="3"/>
  <c r="G609" i="3"/>
  <c r="G683" i="3"/>
  <c r="G385" i="3"/>
  <c r="G296" i="3"/>
  <c r="G1032" i="3"/>
  <c r="G976" i="3"/>
  <c r="G930" i="3"/>
  <c r="G969" i="3"/>
  <c r="G752" i="3"/>
  <c r="G720" i="3"/>
  <c r="G450" i="3"/>
  <c r="G394" i="3"/>
  <c r="G313" i="3"/>
  <c r="G175" i="3"/>
  <c r="G23" i="3"/>
  <c r="G1092" i="3"/>
  <c r="G1062" i="3"/>
  <c r="G944" i="3"/>
  <c r="G816" i="3"/>
  <c r="G780" i="3"/>
  <c r="G273" i="3"/>
  <c r="G204" i="3"/>
  <c r="G1013" i="3"/>
  <c r="G941" i="3"/>
  <c r="G924" i="3"/>
  <c r="G831" i="3"/>
  <c r="G791" i="3"/>
  <c r="G731" i="3"/>
  <c r="G101" i="3"/>
  <c r="G225" i="3"/>
  <c r="G739" i="3"/>
  <c r="G612" i="3"/>
  <c r="G442" i="3"/>
  <c r="G257" i="3"/>
  <c r="G962" i="3"/>
  <c r="G882" i="3"/>
  <c r="G850" i="3"/>
  <c r="G534" i="3"/>
  <c r="G467" i="3"/>
  <c r="G97" i="3"/>
  <c r="G75" i="3"/>
  <c r="G559" i="3"/>
  <c r="G475" i="3"/>
  <c r="G414" i="3"/>
  <c r="G93" i="3"/>
  <c r="D21" i="1"/>
  <c r="D45" i="1"/>
  <c r="G590" i="3"/>
  <c r="D9" i="1" l="1"/>
  <c r="H336" i="5"/>
  <c r="H738" i="5"/>
  <c r="H894" i="5"/>
  <c r="H545" i="5"/>
  <c r="H902" i="5"/>
  <c r="H445" i="5"/>
  <c r="H630" i="5"/>
  <c r="H175" i="5"/>
  <c r="H909" i="5"/>
  <c r="H392" i="5"/>
  <c r="H348" i="5"/>
  <c r="H660" i="5"/>
  <c r="H265" i="5"/>
  <c r="H241" i="5"/>
  <c r="H55" i="5"/>
  <c r="H524" i="5"/>
  <c r="H370" i="5"/>
  <c r="H765" i="5"/>
  <c r="H993" i="5"/>
  <c r="H606" i="5"/>
  <c r="H714" i="5"/>
  <c r="H85" i="5"/>
  <c r="H737" i="5"/>
  <c r="H881" i="5"/>
  <c r="H78" i="5"/>
  <c r="H620" i="5"/>
  <c r="H433" i="5"/>
  <c r="H1031" i="5"/>
  <c r="H414" i="5"/>
  <c r="H25" i="6"/>
  <c r="H153" i="5"/>
  <c r="H639" i="5"/>
  <c r="H702" i="5"/>
  <c r="H457" i="5"/>
  <c r="H188" i="5"/>
  <c r="H358" i="5"/>
  <c r="H381" i="5"/>
  <c r="H961" i="5"/>
  <c r="H17" i="6"/>
  <c r="H318" i="5"/>
  <c r="H685" i="5"/>
  <c r="H644" i="5"/>
  <c r="H668" i="5"/>
  <c r="H666" i="5"/>
  <c r="H18" i="5"/>
  <c r="H1001" i="5"/>
  <c r="H314" i="5"/>
  <c r="H847" i="5"/>
  <c r="H485" i="5"/>
  <c r="H516" i="5"/>
  <c r="H575" i="5"/>
  <c r="H571" i="5"/>
  <c r="H135" i="5"/>
  <c r="H280" i="5"/>
  <c r="H426" i="5"/>
  <c r="H988" i="5"/>
  <c r="H295" i="5"/>
  <c r="H531" i="5"/>
  <c r="H781" i="5"/>
  <c r="H44" i="5"/>
  <c r="H674" i="5"/>
  <c r="H528" i="5"/>
  <c r="H648" i="5"/>
  <c r="H583" i="5"/>
  <c r="H335" i="5"/>
  <c r="H225" i="5"/>
  <c r="H469" i="5"/>
  <c r="H982" i="5"/>
  <c r="H195" i="5"/>
  <c r="H305" i="5"/>
  <c r="H199" i="5"/>
  <c r="H224" i="5"/>
  <c r="H1025" i="5"/>
  <c r="H608" i="5"/>
  <c r="H951" i="5"/>
  <c r="H62" i="5"/>
  <c r="H495" i="5"/>
  <c r="H70" i="5"/>
  <c r="H967" i="5"/>
  <c r="H103" i="5"/>
  <c r="H595" i="5"/>
  <c r="H96" i="5"/>
  <c r="H732" i="5"/>
  <c r="H730" i="5"/>
  <c r="H760" i="5"/>
  <c r="H874" i="5"/>
  <c r="H139" i="5"/>
  <c r="H579" i="5"/>
  <c r="H477" i="5"/>
  <c r="H557" i="5"/>
  <c r="H220" i="5"/>
  <c r="H112" i="5"/>
  <c r="H835" i="5"/>
  <c r="H743" i="5"/>
  <c r="H865" i="5"/>
  <c r="H888" i="5"/>
  <c r="H166" i="5"/>
  <c r="H563" i="5"/>
  <c r="G947" i="3"/>
  <c r="G751" i="3"/>
  <c r="G975" i="3"/>
  <c r="G1135" i="3"/>
  <c r="G1006" i="3"/>
  <c r="G406" i="3"/>
  <c r="G865" i="3"/>
  <c r="G700" i="3"/>
  <c r="G33" i="3"/>
  <c r="G492" i="3"/>
  <c r="G344" i="3"/>
  <c r="G1099" i="3"/>
  <c r="G857" i="3"/>
  <c r="G253" i="3"/>
  <c r="G541" i="3"/>
  <c r="G312" i="3"/>
  <c r="G1031" i="3"/>
  <c r="G295" i="3"/>
  <c r="G724" i="3"/>
  <c r="G1025" i="3"/>
  <c r="G759" i="3"/>
  <c r="G516" i="3"/>
  <c r="G996" i="3"/>
  <c r="G525" i="3"/>
  <c r="G913" i="3"/>
  <c r="G107" i="3"/>
  <c r="G708" i="3"/>
  <c r="G935" i="3"/>
  <c r="G1121" i="3"/>
  <c r="G742" i="3"/>
  <c r="G1065" i="3"/>
  <c r="G558" i="3"/>
  <c r="G842" i="3"/>
  <c r="G961" i="3"/>
  <c r="G441" i="3"/>
  <c r="G923" i="3"/>
  <c r="G272" i="3"/>
  <c r="G968" i="3"/>
  <c r="G929" i="3"/>
  <c r="G291" i="3"/>
  <c r="G672" i="3"/>
  <c r="G478" i="3"/>
  <c r="G906" i="3"/>
  <c r="G773" i="3"/>
  <c r="G422" i="3"/>
  <c r="G615" i="3"/>
  <c r="G825" i="3"/>
  <c r="G507" i="3"/>
  <c r="G651" i="3"/>
  <c r="G219" i="3"/>
  <c r="G371" i="3"/>
  <c r="G318" i="3"/>
  <c r="G1076" i="3"/>
  <c r="G578" i="3"/>
  <c r="G246" i="3"/>
  <c r="G874" i="3"/>
  <c r="G878" i="3"/>
  <c r="G585" i="3"/>
  <c r="G239" i="3"/>
  <c r="G658" i="3"/>
  <c r="G713" i="3"/>
  <c r="G283" i="3"/>
  <c r="G234" i="3"/>
  <c r="G533" i="3"/>
  <c r="G738" i="3"/>
  <c r="G224" i="3"/>
  <c r="G1012" i="3"/>
  <c r="G815" i="3"/>
  <c r="G1058" i="3"/>
  <c r="G679" i="3"/>
  <c r="G605" i="3"/>
  <c r="G598" i="3"/>
  <c r="G885" i="3"/>
  <c r="G638" i="3"/>
  <c r="G980" i="3"/>
  <c r="G305" i="3"/>
  <c r="G189" i="3"/>
  <c r="G1088" i="3"/>
  <c r="G985" i="3"/>
  <c r="G787" i="3"/>
  <c r="G1081" i="3"/>
  <c r="G1112" i="3"/>
  <c r="G568" i="3"/>
  <c r="H731" i="5" l="1"/>
  <c r="H950" i="5"/>
  <c r="H467" i="5"/>
  <c r="H468" i="5"/>
  <c r="H432" i="5"/>
  <c r="H54" i="5"/>
  <c r="H52" i="5"/>
  <c r="H264" i="5"/>
  <c r="H165" i="5"/>
  <c r="H873" i="5"/>
  <c r="H494" i="5"/>
  <c r="H981" i="5"/>
  <c r="H43" i="5"/>
  <c r="H134" i="5"/>
  <c r="H132" i="5"/>
  <c r="H864" i="5"/>
  <c r="H834" i="5"/>
  <c r="H69" i="5"/>
  <c r="H1024" i="5"/>
  <c r="H304" i="5"/>
  <c r="H310" i="5"/>
  <c r="H647" i="5"/>
  <c r="H987" i="5"/>
  <c r="H279" i="5"/>
  <c r="H960" i="5"/>
  <c r="H380" i="5"/>
  <c r="H456" i="5"/>
  <c r="H1030" i="5"/>
  <c r="H77" i="5"/>
  <c r="H84" i="5"/>
  <c r="H764" i="5"/>
  <c r="H908" i="5"/>
  <c r="H633" i="5"/>
  <c r="H629" i="5"/>
  <c r="H627" i="5"/>
  <c r="H111" i="5"/>
  <c r="H759" i="5"/>
  <c r="H607" i="5"/>
  <c r="H216" i="5"/>
  <c r="H582" i="5"/>
  <c r="H515" i="5"/>
  <c r="H17" i="5"/>
  <c r="H701" i="5"/>
  <c r="H880" i="5"/>
  <c r="H347" i="5"/>
  <c r="H556" i="5"/>
  <c r="H594" i="5"/>
  <c r="H530" i="5"/>
  <c r="H425" i="5"/>
  <c r="H1000" i="5"/>
  <c r="H684" i="5"/>
  <c r="H152" i="5"/>
  <c r="H413" i="5"/>
  <c r="H901" i="5"/>
  <c r="H893" i="5"/>
  <c r="H562" i="5"/>
  <c r="H887" i="5"/>
  <c r="H476" i="5"/>
  <c r="H95" i="5"/>
  <c r="H102" i="5"/>
  <c r="H101" i="5"/>
  <c r="H61" i="5"/>
  <c r="H294" i="5"/>
  <c r="H570" i="5"/>
  <c r="H846" i="5"/>
  <c r="H667" i="5"/>
  <c r="H317" i="5"/>
  <c r="H24" i="6"/>
  <c r="H369" i="5"/>
  <c r="H391" i="5"/>
  <c r="H444" i="5"/>
  <c r="H544" i="5"/>
  <c r="G1111" i="3"/>
  <c r="G979" i="3"/>
  <c r="G1011" i="3"/>
  <c r="G737" i="3"/>
  <c r="E23" i="2"/>
  <c r="G712" i="3"/>
  <c r="G238" i="3"/>
  <c r="G856" i="3"/>
  <c r="G506" i="3"/>
  <c r="G824" i="3"/>
  <c r="G290" i="3"/>
  <c r="G707" i="3"/>
  <c r="G889" i="3"/>
  <c r="G719" i="3"/>
  <c r="G1030" i="3"/>
  <c r="G786" i="3"/>
  <c r="G928" i="3"/>
  <c r="G440" i="3"/>
  <c r="G995" i="3"/>
  <c r="G343" i="3"/>
  <c r="G491" i="3"/>
  <c r="G1134" i="3"/>
  <c r="G1087" i="3"/>
  <c r="G304" i="3"/>
  <c r="G597" i="3"/>
  <c r="G604" i="3"/>
  <c r="G233" i="3"/>
  <c r="G245" i="3"/>
  <c r="G967" i="3"/>
  <c r="G1120" i="3"/>
  <c r="G934" i="3"/>
  <c r="G311" i="3"/>
  <c r="G252" i="3"/>
  <c r="G1098" i="3"/>
  <c r="G1005" i="3"/>
  <c r="G188" i="3"/>
  <c r="G814" i="3"/>
  <c r="G837" i="3"/>
  <c r="G960" i="3"/>
  <c r="G557" i="3"/>
  <c r="G32" i="3"/>
  <c r="G405" i="3"/>
  <c r="G974" i="3"/>
  <c r="G96" i="3"/>
  <c r="H443" i="5" l="1"/>
  <c r="H845" i="5"/>
  <c r="H60" i="5"/>
  <c r="H886" i="5"/>
  <c r="H879" i="5"/>
  <c r="H646" i="5"/>
  <c r="H42" i="5"/>
  <c r="H493" i="5"/>
  <c r="H53" i="5"/>
  <c r="H431" i="5"/>
  <c r="H412" i="5"/>
  <c r="H424" i="5"/>
  <c r="H423" i="5" s="1"/>
  <c r="H9" i="5"/>
  <c r="H581" i="5"/>
  <c r="H622" i="5"/>
  <c r="H76" i="5"/>
  <c r="H68" i="5"/>
  <c r="H67" i="5"/>
  <c r="H133" i="5"/>
  <c r="H151" i="5"/>
  <c r="H999" i="5"/>
  <c r="H529" i="5"/>
  <c r="H555" i="5"/>
  <c r="H514" i="5"/>
  <c r="H455" i="5"/>
  <c r="H454" i="5"/>
  <c r="H1023" i="5"/>
  <c r="H1022" i="5"/>
  <c r="H23" i="6"/>
  <c r="H293" i="5"/>
  <c r="H475" i="5"/>
  <c r="H892" i="5"/>
  <c r="H110" i="5"/>
  <c r="H278" i="5"/>
  <c r="H833" i="5"/>
  <c r="H164" i="5"/>
  <c r="H949" i="5"/>
  <c r="H368" i="5"/>
  <c r="H593" i="5"/>
  <c r="H758" i="5"/>
  <c r="H757" i="5" s="1"/>
  <c r="H390" i="5"/>
  <c r="H316" i="5"/>
  <c r="H569" i="5"/>
  <c r="H108" i="5"/>
  <c r="H93" i="5"/>
  <c r="H94" i="5"/>
  <c r="H568" i="5"/>
  <c r="H900" i="5"/>
  <c r="H700" i="5"/>
  <c r="H628" i="5"/>
  <c r="H907" i="5"/>
  <c r="H379" i="5"/>
  <c r="H872" i="5"/>
  <c r="H263" i="5"/>
  <c r="G31" i="3"/>
  <c r="G959" i="3"/>
  <c r="E43" i="2"/>
  <c r="G933" i="3"/>
  <c r="G966" i="3"/>
  <c r="G1029" i="3"/>
  <c r="G855" i="3"/>
  <c r="G532" i="3"/>
  <c r="G251" i="3"/>
  <c r="G1119" i="3"/>
  <c r="G1110" i="3"/>
  <c r="G1086" i="3" s="1"/>
  <c r="G187" i="3"/>
  <c r="G244" i="3"/>
  <c r="G490" i="3"/>
  <c r="G289" i="3"/>
  <c r="G823" i="3"/>
  <c r="G718" i="3"/>
  <c r="H756" i="5" l="1"/>
  <c r="H262" i="5"/>
  <c r="H592" i="5"/>
  <c r="H474" i="5"/>
  <c r="H885" i="5"/>
  <c r="H871" i="5"/>
  <c r="H906" i="5"/>
  <c r="H621" i="5"/>
  <c r="H418" i="5"/>
  <c r="H1029" i="5"/>
  <c r="H580" i="5"/>
  <c r="H430" i="5"/>
  <c r="H513" i="5"/>
  <c r="H150" i="5"/>
  <c r="H74" i="5"/>
  <c r="H899" i="5"/>
  <c r="H100" i="5"/>
  <c r="H948" i="5"/>
  <c r="H645" i="5"/>
  <c r="H878" i="5"/>
  <c r="H59" i="5"/>
  <c r="H442" i="5"/>
  <c r="E24" i="2"/>
  <c r="G243" i="3"/>
  <c r="G1118" i="3"/>
  <c r="E49" i="2"/>
  <c r="E48" i="2" s="1"/>
  <c r="G531" i="3"/>
  <c r="E39" i="2"/>
  <c r="E36" i="2"/>
  <c r="E30" i="2"/>
  <c r="G854" i="3"/>
  <c r="G1024" i="3"/>
  <c r="E47" i="2"/>
  <c r="E41" i="2"/>
  <c r="G250" i="3"/>
  <c r="E20" i="2"/>
  <c r="E19" i="2" s="1"/>
  <c r="E12" i="2"/>
  <c r="H863" i="5" l="1"/>
  <c r="H512" i="5"/>
  <c r="H66" i="5"/>
  <c r="H466" i="5"/>
  <c r="G853" i="3"/>
  <c r="E38" i="2"/>
  <c r="E37" i="2" s="1"/>
  <c r="E46" i="2"/>
  <c r="E45" i="2" s="1"/>
  <c r="G1023" i="3"/>
  <c r="E32" i="2"/>
  <c r="I1229" i="4" l="1"/>
  <c r="I1172" i="4"/>
  <c r="I1167" i="4"/>
  <c r="I1162" i="4"/>
  <c r="I1141" i="4"/>
  <c r="I1138" i="4"/>
  <c r="I1131" i="4"/>
  <c r="I1114" i="4"/>
  <c r="I1103" i="4"/>
  <c r="I1090" i="4"/>
  <c r="I1086" i="4"/>
  <c r="I1082" i="4"/>
  <c r="I1078" i="4"/>
  <c r="I1074" i="4"/>
  <c r="I1066" i="4"/>
  <c r="I1061" i="4"/>
  <c r="I1058" i="4"/>
  <c r="I1056" i="4"/>
  <c r="I1053" i="4"/>
  <c r="I1041" i="4"/>
  <c r="I1036" i="4"/>
  <c r="I1035" i="4"/>
  <c r="I1033" i="4"/>
  <c r="I1016" i="4"/>
  <c r="I1007" i="4"/>
  <c r="I1001" i="4"/>
  <c r="I993" i="4"/>
  <c r="I15" i="5" s="1"/>
  <c r="I987" i="4"/>
  <c r="I940" i="4"/>
  <c r="I938" i="4"/>
  <c r="I936" i="4"/>
  <c r="I914" i="4"/>
  <c r="I909" i="4"/>
  <c r="I906" i="4"/>
  <c r="I898" i="4"/>
  <c r="I895" i="4"/>
  <c r="I888" i="4"/>
  <c r="I884" i="4"/>
  <c r="I881" i="4"/>
  <c r="I878" i="4"/>
  <c r="I862" i="4"/>
  <c r="I856" i="4"/>
  <c r="I808" i="4"/>
  <c r="I800" i="4"/>
  <c r="I766" i="4"/>
  <c r="I761" i="4"/>
  <c r="I747" i="4"/>
  <c r="I744" i="4"/>
  <c r="I740" i="4"/>
  <c r="I733" i="4"/>
  <c r="I723" i="4"/>
  <c r="I716" i="4"/>
  <c r="I696" i="4"/>
  <c r="I688" i="4"/>
  <c r="I679" i="4"/>
  <c r="I651" i="4"/>
  <c r="I643" i="4"/>
  <c r="I639" i="4"/>
  <c r="I636" i="4"/>
  <c r="I626" i="4"/>
  <c r="I619" i="4"/>
  <c r="I608" i="4"/>
  <c r="I584" i="4"/>
  <c r="I581" i="4"/>
  <c r="I543" i="4"/>
  <c r="I511" i="4"/>
  <c r="I447" i="4"/>
  <c r="I434" i="4"/>
  <c r="I426" i="4"/>
  <c r="I423" i="4"/>
  <c r="I419" i="4"/>
  <c r="I416" i="4"/>
  <c r="I408" i="4"/>
  <c r="I388" i="4"/>
  <c r="I380" i="4"/>
  <c r="I359" i="4"/>
  <c r="I349" i="4"/>
  <c r="I328" i="4"/>
  <c r="I325" i="4"/>
  <c r="I311" i="4"/>
  <c r="I291" i="4"/>
  <c r="I288" i="4"/>
  <c r="I277" i="4"/>
  <c r="I274" i="4"/>
  <c r="I266" i="4"/>
  <c r="I253" i="4"/>
  <c r="I244" i="4"/>
  <c r="I239" i="4"/>
  <c r="I206" i="4"/>
  <c r="I157" i="4"/>
  <c r="I145" i="4"/>
  <c r="I140" i="4"/>
  <c r="I136" i="4"/>
  <c r="I120" i="4"/>
  <c r="I97" i="4"/>
  <c r="I94" i="4"/>
  <c r="I64" i="4"/>
  <c r="I61" i="4"/>
  <c r="I58" i="4"/>
  <c r="I53" i="4"/>
  <c r="I49" i="4"/>
  <c r="I26" i="4"/>
  <c r="H1242" i="4"/>
  <c r="H1241" i="4" s="1"/>
  <c r="H1240" i="4"/>
  <c r="G124" i="3" s="1"/>
  <c r="G123" i="3" s="1"/>
  <c r="G122" i="3" s="1"/>
  <c r="H1237" i="4"/>
  <c r="H1234" i="4"/>
  <c r="H1228" i="4"/>
  <c r="H1227" i="4" s="1"/>
  <c r="H1225" i="4"/>
  <c r="H1223" i="4"/>
  <c r="H1222" i="4" s="1"/>
  <c r="H1217" i="4"/>
  <c r="H1216" i="4" s="1"/>
  <c r="H1214" i="4"/>
  <c r="H1213" i="4" s="1"/>
  <c r="H1209" i="4"/>
  <c r="H1208" i="4" s="1"/>
  <c r="H1207" i="4"/>
  <c r="G19" i="3" s="1"/>
  <c r="G18" i="3" s="1"/>
  <c r="G17" i="3" s="1"/>
  <c r="H1204" i="4"/>
  <c r="H1201" i="4"/>
  <c r="H1194" i="4"/>
  <c r="G1022" i="3" s="1"/>
  <c r="G1021" i="3" s="1"/>
  <c r="G1020" i="3" s="1"/>
  <c r="G1019" i="3" s="1"/>
  <c r="G1018" i="3" s="1"/>
  <c r="G1010" i="3" s="1"/>
  <c r="E44" i="2" s="1"/>
  <c r="H1193" i="4"/>
  <c r="H1192" i="4" s="1"/>
  <c r="H1185" i="4"/>
  <c r="H1184" i="4" s="1"/>
  <c r="H1183" i="4" s="1"/>
  <c r="H1182" i="4" s="1"/>
  <c r="H1180" i="4"/>
  <c r="H1179" i="4" s="1"/>
  <c r="H1177" i="4"/>
  <c r="H1175" i="4"/>
  <c r="H1171" i="4"/>
  <c r="H1168" i="4"/>
  <c r="H1166" i="4"/>
  <c r="H1161" i="4"/>
  <c r="H1160" i="4" s="1"/>
  <c r="H1158" i="4"/>
  <c r="H1157" i="4" s="1"/>
  <c r="H1155" i="4"/>
  <c r="H1153" i="4"/>
  <c r="H1151" i="4"/>
  <c r="H1146" i="4"/>
  <c r="H1140" i="4"/>
  <c r="H1139" i="4" s="1"/>
  <c r="H1137" i="4"/>
  <c r="H1136" i="4"/>
  <c r="H1134" i="4"/>
  <c r="H1130" i="4"/>
  <c r="H1128" i="4"/>
  <c r="H1125" i="4"/>
  <c r="H1122" i="4"/>
  <c r="H1121" i="4" s="1"/>
  <c r="H1118" i="4"/>
  <c r="H1115" i="4"/>
  <c r="G458" i="3" s="1"/>
  <c r="H1111" i="4"/>
  <c r="H1108" i="4"/>
  <c r="H1107" i="4" s="1"/>
  <c r="H1102" i="4"/>
  <c r="H1100" i="4"/>
  <c r="H1099" i="4" s="1"/>
  <c r="H1098" i="4" s="1"/>
  <c r="H1097" i="4" s="1"/>
  <c r="H1095" i="4"/>
  <c r="H1089" i="4"/>
  <c r="H1085" i="4"/>
  <c r="H1081" i="4"/>
  <c r="H1077" i="4"/>
  <c r="H1076" i="4" s="1"/>
  <c r="H1075" i="4" s="1"/>
  <c r="H1073" i="4"/>
  <c r="H1072" i="4" s="1"/>
  <c r="H1069" i="4"/>
  <c r="H1068" i="4" s="1"/>
  <c r="H1067" i="4" s="1"/>
  <c r="H1065" i="4"/>
  <c r="H1060" i="4"/>
  <c r="H1059" i="4" s="1"/>
  <c r="H1057" i="4"/>
  <c r="H1055" i="4"/>
  <c r="H1052" i="4"/>
  <c r="H1050" i="4"/>
  <c r="H1047" i="4"/>
  <c r="H1043" i="4"/>
  <c r="H1042" i="4" s="1"/>
  <c r="H1040" i="4"/>
  <c r="H1038" i="4"/>
  <c r="H1034" i="4"/>
  <c r="H1032" i="4"/>
  <c r="H1030" i="4"/>
  <c r="H1025" i="4"/>
  <c r="H1021" i="4"/>
  <c r="H1020" i="4" s="1"/>
  <c r="H1018" i="4"/>
  <c r="H1017" i="4"/>
  <c r="H1015" i="4"/>
  <c r="H1013" i="4"/>
  <c r="H1006" i="4"/>
  <c r="H1005" i="4" s="1"/>
  <c r="H1004" i="4" s="1"/>
  <c r="H1003" i="4" s="1"/>
  <c r="H1002" i="4" s="1"/>
  <c r="H1000" i="4"/>
  <c r="H998" i="4"/>
  <c r="H996" i="4"/>
  <c r="H992" i="4"/>
  <c r="H986" i="4"/>
  <c r="H985" i="4" s="1"/>
  <c r="H984" i="4" s="1"/>
  <c r="H979" i="4"/>
  <c r="H972" i="4"/>
  <c r="H971" i="4" s="1"/>
  <c r="H970" i="4" s="1"/>
  <c r="H969" i="4" s="1"/>
  <c r="H967" i="4"/>
  <c r="H966" i="4"/>
  <c r="G165" i="3" s="1"/>
  <c r="G164" i="3" s="1"/>
  <c r="G159" i="3" s="1"/>
  <c r="G155" i="3" s="1"/>
  <c r="H963" i="4"/>
  <c r="H961" i="4"/>
  <c r="H958" i="4"/>
  <c r="H957" i="4" s="1"/>
  <c r="H950" i="4"/>
  <c r="H948" i="4"/>
  <c r="H942" i="4"/>
  <c r="H941" i="4" s="1"/>
  <c r="H939" i="4"/>
  <c r="H937" i="4"/>
  <c r="H935" i="4"/>
  <c r="H930" i="4"/>
  <c r="H927" i="4"/>
  <c r="H926" i="4" s="1"/>
  <c r="H924" i="4"/>
  <c r="H923" i="4" s="1"/>
  <c r="H918" i="4"/>
  <c r="H917" i="4" s="1"/>
  <c r="H916" i="4" s="1"/>
  <c r="H915" i="4" s="1"/>
  <c r="H913" i="4"/>
  <c r="H912" i="4" s="1"/>
  <c r="H911" i="4" s="1"/>
  <c r="H910" i="4" s="1"/>
  <c r="H908" i="4"/>
  <c r="H907" i="4" s="1"/>
  <c r="H905" i="4"/>
  <c r="H901" i="4"/>
  <c r="H900" i="4" s="1"/>
  <c r="H899" i="4" s="1"/>
  <c r="H897" i="4"/>
  <c r="H894" i="4"/>
  <c r="H893" i="4" s="1"/>
  <c r="H890" i="4"/>
  <c r="H889" i="4"/>
  <c r="H887" i="4"/>
  <c r="H886" i="4"/>
  <c r="H883" i="4"/>
  <c r="H882" i="4" s="1"/>
  <c r="H880" i="4"/>
  <c r="H879" i="4" s="1"/>
  <c r="H877" i="4"/>
  <c r="H876" i="4" s="1"/>
  <c r="H873" i="4"/>
  <c r="H872" i="4" s="1"/>
  <c r="H870" i="4"/>
  <c r="H869" i="4" s="1"/>
  <c r="H867" i="4"/>
  <c r="H866" i="4" s="1"/>
  <c r="H861" i="4"/>
  <c r="H855" i="4"/>
  <c r="H847" i="4"/>
  <c r="H846" i="4"/>
  <c r="H844" i="4"/>
  <c r="H842" i="4"/>
  <c r="H840" i="4"/>
  <c r="H836" i="4"/>
  <c r="H835" i="4" s="1"/>
  <c r="H831" i="4"/>
  <c r="H828" i="4"/>
  <c r="H827" i="4" s="1"/>
  <c r="H825" i="4"/>
  <c r="H823" i="4"/>
  <c r="H817" i="4"/>
  <c r="H816" i="4" s="1"/>
  <c r="H814" i="4"/>
  <c r="H813" i="4" s="1"/>
  <c r="H807" i="4"/>
  <c r="H806" i="4" s="1"/>
  <c r="H802" i="4"/>
  <c r="H801" i="4" s="1"/>
  <c r="H799" i="4"/>
  <c r="H795" i="4"/>
  <c r="H794" i="4" s="1"/>
  <c r="H793" i="4" s="1"/>
  <c r="H790" i="4"/>
  <c r="H787" i="4"/>
  <c r="H786" i="4" s="1"/>
  <c r="H784" i="4"/>
  <c r="H783" i="4" s="1"/>
  <c r="H781" i="4"/>
  <c r="H780" i="4" s="1"/>
  <c r="H777" i="4"/>
  <c r="H776" i="4" s="1"/>
  <c r="H770" i="4"/>
  <c r="H769" i="4" s="1"/>
  <c r="H768" i="4" s="1"/>
  <c r="H765" i="4"/>
  <c r="H764" i="4" s="1"/>
  <c r="H763" i="4" s="1"/>
  <c r="H762" i="4" s="1"/>
  <c r="H760" i="4"/>
  <c r="H757" i="4"/>
  <c r="H753" i="4"/>
  <c r="H752" i="4" s="1"/>
  <c r="H751" i="4"/>
  <c r="H750" i="4"/>
  <c r="H746" i="4"/>
  <c r="H743" i="4"/>
  <c r="H739" i="4"/>
  <c r="H738" i="4" s="1"/>
  <c r="H736" i="4"/>
  <c r="H735" i="4" s="1"/>
  <c r="H732" i="4"/>
  <c r="H731" i="4" s="1"/>
  <c r="H729" i="4"/>
  <c r="H728" i="4" s="1"/>
  <c r="H725" i="4"/>
  <c r="H724" i="4" s="1"/>
  <c r="H722" i="4"/>
  <c r="H718" i="4"/>
  <c r="H717" i="4" s="1"/>
  <c r="H715" i="4"/>
  <c r="H711" i="4"/>
  <c r="H710" i="4" s="1"/>
  <c r="H708" i="4"/>
  <c r="H707" i="4" s="1"/>
  <c r="H704" i="4"/>
  <c r="H703" i="4" s="1"/>
  <c r="H701" i="4"/>
  <c r="H700" i="4" s="1"/>
  <c r="H698" i="4"/>
  <c r="H697" i="4" s="1"/>
  <c r="H695" i="4"/>
  <c r="H690" i="4"/>
  <c r="H689" i="4" s="1"/>
  <c r="H687" i="4"/>
  <c r="H684" i="4"/>
  <c r="H683" i="4" s="1"/>
  <c r="H681" i="4"/>
  <c r="H680" i="4" s="1"/>
  <c r="H678" i="4"/>
  <c r="H675" i="4"/>
  <c r="H674" i="4" s="1"/>
  <c r="H672" i="4"/>
  <c r="H671" i="4" s="1"/>
  <c r="H668" i="4"/>
  <c r="H667" i="4" s="1"/>
  <c r="H665" i="4"/>
  <c r="H664" i="4" s="1"/>
  <c r="H662" i="4"/>
  <c r="H661" i="4" s="1"/>
  <c r="H655" i="4"/>
  <c r="H654" i="4" s="1"/>
  <c r="H652" i="4" s="1"/>
  <c r="H650" i="4"/>
  <c r="H649" i="4" s="1"/>
  <c r="H645" i="4"/>
  <c r="H644" i="4" s="1"/>
  <c r="H642" i="4"/>
  <c r="H641" i="4" s="1"/>
  <c r="H638" i="4"/>
  <c r="H635" i="4"/>
  <c r="H634" i="4" s="1"/>
  <c r="H631" i="4"/>
  <c r="H630" i="4" s="1"/>
  <c r="H628" i="4"/>
  <c r="H625" i="4"/>
  <c r="H624" i="4" s="1"/>
  <c r="H621" i="4"/>
  <c r="H620" i="4" s="1"/>
  <c r="H618" i="4"/>
  <c r="H617" i="4" s="1"/>
  <c r="H615" i="4"/>
  <c r="H614" i="4" s="1"/>
  <c r="H610" i="4"/>
  <c r="H609" i="4" s="1"/>
  <c r="H607" i="4"/>
  <c r="H604" i="4"/>
  <c r="H603" i="4" s="1"/>
  <c r="H601" i="4"/>
  <c r="H600" i="4" s="1"/>
  <c r="H598" i="4"/>
  <c r="H597" i="4" s="1"/>
  <c r="H594" i="4"/>
  <c r="H593" i="4" s="1"/>
  <c r="H591" i="4"/>
  <c r="H590" i="4" s="1"/>
  <c r="H583" i="4"/>
  <c r="H580" i="4"/>
  <c r="H579" i="4" s="1"/>
  <c r="H578" i="4" s="1"/>
  <c r="H577" i="4" s="1"/>
  <c r="H572" i="4"/>
  <c r="H571" i="4" s="1"/>
  <c r="H566" i="4"/>
  <c r="H565" i="4" s="1"/>
  <c r="H563" i="4"/>
  <c r="H557" i="4"/>
  <c r="H556" i="4"/>
  <c r="H552" i="4"/>
  <c r="G174" i="3" s="1"/>
  <c r="G173" i="3" s="1"/>
  <c r="G172" i="3" s="1"/>
  <c r="G168" i="3" s="1"/>
  <c r="H548" i="4"/>
  <c r="H547" i="4" s="1"/>
  <c r="H542" i="4"/>
  <c r="H541" i="4" s="1"/>
  <c r="H538" i="4"/>
  <c r="H537" i="4" s="1"/>
  <c r="H535" i="4"/>
  <c r="H534" i="4" s="1"/>
  <c r="H532" i="4"/>
  <c r="H528" i="4"/>
  <c r="H520" i="4"/>
  <c r="H515" i="4"/>
  <c r="H512" i="4"/>
  <c r="H510" i="4"/>
  <c r="H508" i="4"/>
  <c r="H506" i="4"/>
  <c r="H499" i="4"/>
  <c r="H498" i="4" s="1"/>
  <c r="H497" i="4" s="1"/>
  <c r="H495" i="4"/>
  <c r="H492" i="4"/>
  <c r="H488" i="4"/>
  <c r="H483" i="4"/>
  <c r="H482" i="4" s="1"/>
  <c r="H480" i="4" s="1"/>
  <c r="H478" i="4"/>
  <c r="H477" i="4" s="1"/>
  <c r="H476" i="4" s="1"/>
  <c r="H475" i="4" s="1"/>
  <c r="H470" i="4"/>
  <c r="H469" i="4" s="1"/>
  <c r="H468" i="4" s="1"/>
  <c r="H467" i="4" s="1"/>
  <c r="H464" i="4"/>
  <c r="H463" i="4" s="1"/>
  <c r="H461" i="4"/>
  <c r="H459" i="4"/>
  <c r="H457" i="4"/>
  <c r="H452" i="4"/>
  <c r="H449" i="4"/>
  <c r="H448" i="4" s="1"/>
  <c r="H446" i="4"/>
  <c r="H444" i="4"/>
  <c r="H438" i="4"/>
  <c r="H437" i="4" s="1"/>
  <c r="H436" i="4" s="1"/>
  <c r="H435" i="4" s="1"/>
  <c r="H433" i="4"/>
  <c r="H432" i="4" s="1"/>
  <c r="H431" i="4"/>
  <c r="H428" i="4"/>
  <c r="H427" i="4" s="1"/>
  <c r="H425" i="4"/>
  <c r="H424" i="4" s="1"/>
  <c r="H422" i="4"/>
  <c r="H421" i="4" s="1"/>
  <c r="H418" i="4"/>
  <c r="H415" i="4"/>
  <c r="H414" i="4"/>
  <c r="H411" i="4"/>
  <c r="H407" i="4"/>
  <c r="H406" i="4" s="1"/>
  <c r="H405" i="4" s="1"/>
  <c r="H403" i="4"/>
  <c r="H401" i="4"/>
  <c r="H399" i="4"/>
  <c r="H394" i="4"/>
  <c r="H393" i="4" s="1"/>
  <c r="H392" i="4" s="1"/>
  <c r="H390" i="4"/>
  <c r="H387" i="4"/>
  <c r="H383" i="4"/>
  <c r="H382" i="4" s="1"/>
  <c r="H379" i="4"/>
  <c r="H376" i="4"/>
  <c r="H374" i="4"/>
  <c r="H370" i="4"/>
  <c r="H368" i="4"/>
  <c r="H366" i="4"/>
  <c r="H358" i="4"/>
  <c r="H357" i="4" s="1"/>
  <c r="H356" i="4" s="1"/>
  <c r="H354" i="4"/>
  <c r="H353" i="4"/>
  <c r="G807" i="3" s="1"/>
  <c r="H348" i="4"/>
  <c r="H347" i="4" s="1"/>
  <c r="H346" i="4"/>
  <c r="G800" i="3" s="1"/>
  <c r="H345" i="4"/>
  <c r="H338" i="4"/>
  <c r="H337" i="4" s="1"/>
  <c r="H336" i="4" s="1"/>
  <c r="H333" i="4"/>
  <c r="H332" i="4" s="1"/>
  <c r="H330" i="4"/>
  <c r="H329" i="4" s="1"/>
  <c r="H327" i="4"/>
  <c r="H326" i="4" s="1"/>
  <c r="H324" i="4"/>
  <c r="H320" i="4"/>
  <c r="H319" i="4" s="1"/>
  <c r="H318" i="4" s="1"/>
  <c r="H317" i="4"/>
  <c r="H314" i="4"/>
  <c r="H310" i="4"/>
  <c r="H309" i="4"/>
  <c r="H308" i="4" s="1"/>
  <c r="H306" i="4"/>
  <c r="H304" i="4"/>
  <c r="H302" i="4"/>
  <c r="H295" i="4"/>
  <c r="H290" i="4"/>
  <c r="H287" i="4"/>
  <c r="H284" i="4"/>
  <c r="G331" i="3" s="1"/>
  <c r="H281" i="4"/>
  <c r="G328" i="3" s="1"/>
  <c r="H276" i="4"/>
  <c r="H273" i="4"/>
  <c r="H265" i="4"/>
  <c r="H264" i="4" s="1"/>
  <c r="H262" i="4" s="1"/>
  <c r="H260" i="4"/>
  <c r="H259" i="4" s="1"/>
  <c r="H257" i="4" s="1"/>
  <c r="H256" i="4"/>
  <c r="H252" i="4"/>
  <c r="H250" i="4"/>
  <c r="H246" i="4"/>
  <c r="H243" i="4"/>
  <c r="H242" i="4"/>
  <c r="H238" i="4"/>
  <c r="H237" i="4"/>
  <c r="H235" i="4"/>
  <c r="H234" i="4" s="1"/>
  <c r="H226" i="4"/>
  <c r="H224" i="4"/>
  <c r="H219" i="4"/>
  <c r="H212" i="4"/>
  <c r="H211" i="4" s="1"/>
  <c r="H205" i="4"/>
  <c r="H202" i="4"/>
  <c r="H201" i="4" s="1"/>
  <c r="H197" i="4"/>
  <c r="H195" i="4"/>
  <c r="H190" i="4"/>
  <c r="G282" i="3" s="1"/>
  <c r="H185" i="4"/>
  <c r="H184" i="4" s="1"/>
  <c r="H182" i="4"/>
  <c r="H175" i="4"/>
  <c r="H174" i="4" s="1"/>
  <c r="H172" i="4"/>
  <c r="H170" i="4"/>
  <c r="H166" i="4"/>
  <c r="H163" i="4"/>
  <c r="H162" i="4" s="1"/>
  <c r="H156" i="4"/>
  <c r="H149" i="4"/>
  <c r="H148" i="4" s="1"/>
  <c r="H144" i="4"/>
  <c r="H143" i="4" s="1"/>
  <c r="H139" i="4"/>
  <c r="H138" i="4"/>
  <c r="H137" i="4" s="1"/>
  <c r="H135" i="4"/>
  <c r="H134" i="4" s="1"/>
  <c r="H133" i="4" s="1"/>
  <c r="H131" i="4"/>
  <c r="G186" i="3" s="1"/>
  <c r="G185" i="3" s="1"/>
  <c r="G184" i="3" s="1"/>
  <c r="G178" i="3" s="1"/>
  <c r="H127" i="4"/>
  <c r="H125" i="4"/>
  <c r="H119" i="4"/>
  <c r="H116" i="4"/>
  <c r="H115" i="4"/>
  <c r="G147" i="3" s="1"/>
  <c r="G146" i="3" s="1"/>
  <c r="G145" i="3" s="1"/>
  <c r="G144" i="3" s="1"/>
  <c r="G143" i="3" s="1"/>
  <c r="G142" i="3" s="1"/>
  <c r="E15" i="2" s="1"/>
  <c r="H114" i="4"/>
  <c r="H108" i="4"/>
  <c r="H107" i="4" s="1"/>
  <c r="H105" i="4"/>
  <c r="H104" i="4" s="1"/>
  <c r="H102" i="4"/>
  <c r="H101" i="4" s="1"/>
  <c r="H96" i="4"/>
  <c r="H93" i="4"/>
  <c r="H89" i="4"/>
  <c r="H87" i="4"/>
  <c r="H83" i="4"/>
  <c r="H78" i="4"/>
  <c r="H76" i="4"/>
  <c r="H73" i="4"/>
  <c r="H71" i="4"/>
  <c r="H69" i="4"/>
  <c r="G82" i="3" s="1"/>
  <c r="G81" i="3" s="1"/>
  <c r="G78" i="3" s="1"/>
  <c r="G63" i="3" s="1"/>
  <c r="H68" i="4"/>
  <c r="H66" i="4"/>
  <c r="H63" i="4"/>
  <c r="H62" i="4" s="1"/>
  <c r="H60" i="4"/>
  <c r="H59" i="4" s="1"/>
  <c r="H57" i="4"/>
  <c r="H56" i="4"/>
  <c r="G69" i="3" s="1"/>
  <c r="G68" i="3" s="1"/>
  <c r="G67" i="3" s="1"/>
  <c r="H52" i="4"/>
  <c r="H51" i="4" s="1"/>
  <c r="H48" i="4"/>
  <c r="H47" i="4" s="1"/>
  <c r="H45" i="4"/>
  <c r="H44" i="4" s="1"/>
  <c r="H42" i="4"/>
  <c r="H41" i="4" s="1"/>
  <c r="H39" i="4"/>
  <c r="H38" i="4"/>
  <c r="G51" i="3" s="1"/>
  <c r="G50" i="3" s="1"/>
  <c r="G45" i="3" s="1"/>
  <c r="G44" i="3" s="1"/>
  <c r="G43" i="3" s="1"/>
  <c r="G42" i="3" s="1"/>
  <c r="E13" i="2" s="1"/>
  <c r="H35" i="4"/>
  <c r="H33" i="4"/>
  <c r="H25" i="4"/>
  <c r="H22" i="4"/>
  <c r="H21" i="4" s="1"/>
  <c r="H20" i="4"/>
  <c r="G135" i="3" s="1"/>
  <c r="G134" i="3" s="1"/>
  <c r="G129" i="3" s="1"/>
  <c r="G128" i="3" s="1"/>
  <c r="H17" i="4"/>
  <c r="H15" i="4"/>
  <c r="H510" i="5" l="1"/>
  <c r="G1004" i="3"/>
  <c r="G1003" i="3" s="1"/>
  <c r="G1002" i="3" s="1"/>
  <c r="G1001" i="3" s="1"/>
  <c r="G1000" i="3" s="1"/>
  <c r="H126" i="5"/>
  <c r="G327" i="3"/>
  <c r="G326" i="3" s="1"/>
  <c r="H831" i="5"/>
  <c r="G466" i="3"/>
  <c r="G465" i="3" s="1"/>
  <c r="G464" i="3" s="1"/>
  <c r="G463" i="3" s="1"/>
  <c r="G462" i="3" s="1"/>
  <c r="H1203" i="4"/>
  <c r="G16" i="3"/>
  <c r="G15" i="3" s="1"/>
  <c r="G12" i="3" s="1"/>
  <c r="G11" i="3" s="1"/>
  <c r="G10" i="3" s="1"/>
  <c r="G9" i="3" s="1"/>
  <c r="I16" i="5"/>
  <c r="I14" i="5"/>
  <c r="I13" i="5" s="1"/>
  <c r="H934" i="5"/>
  <c r="G209" i="3"/>
  <c r="G208" i="3" s="1"/>
  <c r="G207" i="3" s="1"/>
  <c r="G197" i="3" s="1"/>
  <c r="G196" i="3" s="1"/>
  <c r="G330" i="3"/>
  <c r="G329" i="3" s="1"/>
  <c r="H130" i="5"/>
  <c r="G806" i="3"/>
  <c r="G805" i="3" s="1"/>
  <c r="G804" i="3" s="1"/>
  <c r="H47" i="5"/>
  <c r="H789" i="4"/>
  <c r="H260" i="5"/>
  <c r="H1221" i="4"/>
  <c r="H1220" i="4" s="1"/>
  <c r="H1219" i="4" s="1"/>
  <c r="G218" i="3"/>
  <c r="G217" i="3" s="1"/>
  <c r="G216" i="3" s="1"/>
  <c r="H946" i="5"/>
  <c r="H728" i="5"/>
  <c r="G768" i="3"/>
  <c r="G767" i="3" s="1"/>
  <c r="G764" i="3" s="1"/>
  <c r="G763" i="3" s="1"/>
  <c r="G750" i="3" s="1"/>
  <c r="G749" i="3" s="1"/>
  <c r="G717" i="3" s="1"/>
  <c r="E34" i="2" s="1"/>
  <c r="H36" i="5"/>
  <c r="G799" i="3"/>
  <c r="G798" i="3" s="1"/>
  <c r="G797" i="3" s="1"/>
  <c r="G696" i="3"/>
  <c r="G695" i="3" s="1"/>
  <c r="G694" i="3" s="1"/>
  <c r="G693" i="3" s="1"/>
  <c r="G637" i="3" s="1"/>
  <c r="G603" i="3" s="1"/>
  <c r="G602" i="3" s="1"/>
  <c r="H406" i="5"/>
  <c r="H808" i="5"/>
  <c r="G461" i="3"/>
  <c r="G460" i="3" s="1"/>
  <c r="G459" i="3" s="1"/>
  <c r="H1200" i="4"/>
  <c r="G342" i="3"/>
  <c r="G341" i="3" s="1"/>
  <c r="G340" i="3" s="1"/>
  <c r="G339" i="3" s="1"/>
  <c r="H148" i="5"/>
  <c r="H1024" i="4"/>
  <c r="G368" i="3"/>
  <c r="G367" i="3" s="1"/>
  <c r="G366" i="3" s="1"/>
  <c r="G354" i="3" s="1"/>
  <c r="G353" i="3" s="1"/>
  <c r="G352" i="3" s="1"/>
  <c r="H1049" i="4"/>
  <c r="G393" i="3"/>
  <c r="G392" i="3" s="1"/>
  <c r="G389" i="3" s="1"/>
  <c r="G388" i="3" s="1"/>
  <c r="G370" i="3" s="1"/>
  <c r="H1145" i="4"/>
  <c r="H1144" i="4" s="1"/>
  <c r="H1012" i="5"/>
  <c r="G489" i="3"/>
  <c r="G488" i="3" s="1"/>
  <c r="G487" i="3" s="1"/>
  <c r="G154" i="3"/>
  <c r="H1048" i="5"/>
  <c r="G438" i="3"/>
  <c r="G437" i="3" s="1"/>
  <c r="G436" i="3" s="1"/>
  <c r="G435" i="3" s="1"/>
  <c r="G434" i="3" s="1"/>
  <c r="H1233" i="4"/>
  <c r="H55" i="4"/>
  <c r="H861" i="5"/>
  <c r="G281" i="3"/>
  <c r="G280" i="3" s="1"/>
  <c r="G279" i="3" s="1"/>
  <c r="G271" i="3" s="1"/>
  <c r="G270" i="3" s="1"/>
  <c r="E22" i="2" s="1"/>
  <c r="H34" i="6"/>
  <c r="H92" i="5"/>
  <c r="G994" i="3"/>
  <c r="G993" i="3" s="1"/>
  <c r="G989" i="3" s="1"/>
  <c r="G984" i="3" s="1"/>
  <c r="G973" i="3" s="1"/>
  <c r="G972" i="3" s="1"/>
  <c r="H1020" i="5"/>
  <c r="G232" i="3"/>
  <c r="G231" i="3" s="1"/>
  <c r="G230" i="3" s="1"/>
  <c r="H804" i="5"/>
  <c r="G456" i="3"/>
  <c r="G453" i="3" s="1"/>
  <c r="G449" i="3" s="1"/>
  <c r="G448" i="3" s="1"/>
  <c r="G447" i="3" s="1"/>
  <c r="H823" i="5"/>
  <c r="G474" i="3"/>
  <c r="G473" i="3" s="1"/>
  <c r="G470" i="3" s="1"/>
  <c r="H1236" i="4"/>
  <c r="G121" i="3"/>
  <c r="G120" i="3" s="1"/>
  <c r="G117" i="3" s="1"/>
  <c r="G116" i="3" s="1"/>
  <c r="G115" i="3" s="1"/>
  <c r="G114" i="3" s="1"/>
  <c r="E14" i="2" s="1"/>
  <c r="H92" i="4"/>
  <c r="H19" i="4"/>
  <c r="H155" i="4"/>
  <c r="H218" i="4"/>
  <c r="H275" i="4"/>
  <c r="H344" i="4"/>
  <c r="H37" i="4"/>
  <c r="H130" i="4"/>
  <c r="H189" i="4"/>
  <c r="H204" i="4"/>
  <c r="H251" i="4"/>
  <c r="H283" i="4"/>
  <c r="H294" i="4"/>
  <c r="H95" i="4"/>
  <c r="H272" i="4"/>
  <c r="H286" i="4"/>
  <c r="H352" i="4"/>
  <c r="H417" i="4"/>
  <c r="H582" i="4"/>
  <c r="H640" i="4"/>
  <c r="H694" i="4"/>
  <c r="H749" i="4"/>
  <c r="H1088" i="4"/>
  <c r="H1170" i="4"/>
  <c r="H200" i="4"/>
  <c r="H199" i="4" s="1"/>
  <c r="H1282" i="4" s="1"/>
  <c r="H233" i="4"/>
  <c r="H232" i="4" s="1"/>
  <c r="H231" i="4" s="1"/>
  <c r="H255" i="4"/>
  <c r="H280" i="4"/>
  <c r="H289" i="4"/>
  <c r="H430" i="4"/>
  <c r="H494" i="4"/>
  <c r="H519" i="4"/>
  <c r="H518" i="4" s="1"/>
  <c r="H551" i="4"/>
  <c r="H759" i="4"/>
  <c r="H965" i="4"/>
  <c r="H1051" i="4"/>
  <c r="H1064" i="4"/>
  <c r="H555" i="4"/>
  <c r="H1054" i="4"/>
  <c r="H1080" i="4"/>
  <c r="H1113" i="4"/>
  <c r="H1110" i="4" s="1"/>
  <c r="H1127" i="4"/>
  <c r="H1191" i="4"/>
  <c r="H1206" i="4"/>
  <c r="H194" i="4"/>
  <c r="H193" i="4" s="1"/>
  <c r="H249" i="4"/>
  <c r="H316" i="4"/>
  <c r="H351" i="4"/>
  <c r="H350" i="4" s="1"/>
  <c r="H378" i="4"/>
  <c r="H389" i="4"/>
  <c r="H443" i="4"/>
  <c r="H491" i="4"/>
  <c r="H496" i="4"/>
  <c r="H576" i="4"/>
  <c r="H575" i="4" s="1"/>
  <c r="H637" i="4"/>
  <c r="H633" i="4" s="1"/>
  <c r="H648" i="4"/>
  <c r="H756" i="4"/>
  <c r="H755" i="4" s="1"/>
  <c r="H896" i="4"/>
  <c r="H1046" i="4"/>
  <c r="H1071" i="4"/>
  <c r="H1084" i="4"/>
  <c r="H1117" i="4"/>
  <c r="H1129" i="4"/>
  <c r="H1023" i="4"/>
  <c r="H1174" i="4"/>
  <c r="H1173" i="4" s="1"/>
  <c r="H1239" i="4"/>
  <c r="H860" i="4"/>
  <c r="H991" i="4"/>
  <c r="H1133" i="4"/>
  <c r="H834" i="4"/>
  <c r="H410" i="4"/>
  <c r="H409" i="4" s="1"/>
  <c r="H223" i="4"/>
  <c r="H222" i="4" s="1"/>
  <c r="H210" i="4"/>
  <c r="H209" i="4" s="1"/>
  <c r="H208" i="4" s="1"/>
  <c r="H24" i="4"/>
  <c r="H627" i="4"/>
  <c r="H1012" i="4"/>
  <c r="H995" i="4"/>
  <c r="H947" i="4"/>
  <c r="H904" i="4"/>
  <c r="H903" i="4" s="1"/>
  <c r="H854" i="4"/>
  <c r="H853" i="4" s="1"/>
  <c r="H852" i="4" s="1"/>
  <c r="H851" i="4" s="1"/>
  <c r="H822" i="4"/>
  <c r="H745" i="4"/>
  <c r="H721" i="4"/>
  <c r="H720" i="4" s="1"/>
  <c r="H677" i="4"/>
  <c r="H527" i="4"/>
  <c r="H526" i="4" s="1"/>
  <c r="H487" i="4"/>
  <c r="H486" i="4" s="1"/>
  <c r="H451" i="4"/>
  <c r="H420" i="4"/>
  <c r="H386" i="4"/>
  <c r="H381" i="4"/>
  <c r="H323" i="4"/>
  <c r="H181" i="4"/>
  <c r="H165" i="4"/>
  <c r="H161" i="4" s="1"/>
  <c r="H132" i="4"/>
  <c r="H82" i="4"/>
  <c r="H81" i="4" s="1"/>
  <c r="H1212" i="4"/>
  <c r="H1211" i="4" s="1"/>
  <c r="H1165" i="4"/>
  <c r="H1150" i="4"/>
  <c r="H1149" i="4" s="1"/>
  <c r="H1148" i="4" s="1"/>
  <c r="H1135" i="4"/>
  <c r="H1029" i="4"/>
  <c r="H983" i="4"/>
  <c r="H978" i="4"/>
  <c r="H934" i="4"/>
  <c r="H929" i="4"/>
  <c r="H830" i="4"/>
  <c r="H798" i="4"/>
  <c r="H779" i="4"/>
  <c r="H767" i="4"/>
  <c r="H742" i="4"/>
  <c r="H734" i="4"/>
  <c r="H727" i="4"/>
  <c r="H714" i="4"/>
  <c r="H706" i="4"/>
  <c r="H686" i="4"/>
  <c r="H660" i="4"/>
  <c r="H653" i="4"/>
  <c r="H613" i="4"/>
  <c r="H606" i="4"/>
  <c r="H570" i="4"/>
  <c r="H562" i="4"/>
  <c r="H540" i="4"/>
  <c r="H514" i="4"/>
  <c r="H505" i="4"/>
  <c r="H490" i="4"/>
  <c r="H466" i="4"/>
  <c r="H365" i="4"/>
  <c r="H301" i="4"/>
  <c r="H258" i="4"/>
  <c r="H245" i="4"/>
  <c r="H169" i="4"/>
  <c r="H168" i="4" s="1"/>
  <c r="H142" i="4"/>
  <c r="H124" i="4"/>
  <c r="H118" i="4"/>
  <c r="H100" i="4"/>
  <c r="H99" i="4" s="1"/>
  <c r="H98" i="4" s="1"/>
  <c r="H86" i="4"/>
  <c r="H85" i="4" s="1"/>
  <c r="H70" i="4"/>
  <c r="H14" i="4"/>
  <c r="H147" i="4"/>
  <c r="H146" i="4"/>
  <c r="H263" i="4"/>
  <c r="H335" i="4"/>
  <c r="H373" i="4"/>
  <c r="H398" i="4"/>
  <c r="H32" i="4"/>
  <c r="H54" i="4"/>
  <c r="H65" i="4"/>
  <c r="H113" i="4"/>
  <c r="H141" i="4"/>
  <c r="H313" i="4"/>
  <c r="H481" i="4"/>
  <c r="H517" i="4"/>
  <c r="H804" i="4"/>
  <c r="H805" i="4"/>
  <c r="H775" i="4"/>
  <c r="H75" i="4"/>
  <c r="H180" i="4"/>
  <c r="H413" i="4"/>
  <c r="H456" i="4"/>
  <c r="H693" i="4"/>
  <c r="H812" i="4"/>
  <c r="H960" i="4"/>
  <c r="H589" i="4"/>
  <c r="H875" i="4"/>
  <c r="H839" i="4"/>
  <c r="H865" i="4"/>
  <c r="H994" i="4"/>
  <c r="H885" i="4"/>
  <c r="H1037" i="4"/>
  <c r="H1094" i="4"/>
  <c r="H1298" i="4"/>
  <c r="H797" i="4"/>
  <c r="C170" i="1"/>
  <c r="C167" i="1"/>
  <c r="E167" i="1" s="1"/>
  <c r="E33" i="2" l="1"/>
  <c r="E31" i="2" s="1"/>
  <c r="H729" i="5"/>
  <c r="H727" i="5"/>
  <c r="H935" i="5"/>
  <c r="H933" i="5"/>
  <c r="H127" i="5"/>
  <c r="H125" i="5"/>
  <c r="G965" i="3"/>
  <c r="E42" i="2"/>
  <c r="E40" i="2" s="1"/>
  <c r="H1047" i="5"/>
  <c r="G796" i="3"/>
  <c r="G795" i="3" s="1"/>
  <c r="G794" i="3" s="1"/>
  <c r="E35" i="2" s="1"/>
  <c r="H945" i="5"/>
  <c r="H947" i="5"/>
  <c r="H261" i="5"/>
  <c r="H259" i="5"/>
  <c r="H131" i="5"/>
  <c r="H129" i="5"/>
  <c r="I12" i="5"/>
  <c r="I11" i="5" s="1"/>
  <c r="I10" i="5"/>
  <c r="G229" i="3"/>
  <c r="G228" i="3"/>
  <c r="H33" i="6"/>
  <c r="G486" i="3"/>
  <c r="G485" i="3"/>
  <c r="H407" i="5"/>
  <c r="H405" i="5"/>
  <c r="H46" i="5"/>
  <c r="H48" i="5"/>
  <c r="E11" i="2"/>
  <c r="G325" i="3"/>
  <c r="G317" i="3" s="1"/>
  <c r="G316" i="3" s="1"/>
  <c r="G303" i="3" s="1"/>
  <c r="H822" i="5"/>
  <c r="H1019" i="5"/>
  <c r="H1011" i="5"/>
  <c r="E27" i="2"/>
  <c r="G439" i="3"/>
  <c r="E29" i="2" s="1"/>
  <c r="H860" i="5"/>
  <c r="H862" i="5"/>
  <c r="H13" i="4"/>
  <c r="H12" i="4" s="1"/>
  <c r="H11" i="4" s="1"/>
  <c r="H10" i="4" s="1"/>
  <c r="H9" i="4" s="1"/>
  <c r="H1045" i="4"/>
  <c r="H805" i="5"/>
  <c r="H803" i="5"/>
  <c r="H91" i="5"/>
  <c r="G153" i="3"/>
  <c r="E16" i="2" s="1"/>
  <c r="G369" i="3"/>
  <c r="E28" i="2" s="1"/>
  <c r="H149" i="5"/>
  <c r="H147" i="5"/>
  <c r="H809" i="5"/>
  <c r="H807" i="5"/>
  <c r="H37" i="5"/>
  <c r="H35" i="5"/>
  <c r="H830" i="5"/>
  <c r="H832" i="5"/>
  <c r="H511" i="5"/>
  <c r="H509" i="5"/>
  <c r="C169" i="1"/>
  <c r="E169" i="1" s="1"/>
  <c r="E170" i="1"/>
  <c r="H990" i="4"/>
  <c r="H285" i="4"/>
  <c r="H670" i="4"/>
  <c r="H946" i="4"/>
  <c r="H945" i="4" s="1"/>
  <c r="H944" i="4" s="1"/>
  <c r="H647" i="4"/>
  <c r="H1124" i="4"/>
  <c r="H1063" i="4"/>
  <c r="H271" i="4"/>
  <c r="H221" i="4"/>
  <c r="H1205" i="4"/>
  <c r="H282" i="4"/>
  <c r="H343" i="4"/>
  <c r="H1093" i="4"/>
  <c r="H322" i="4"/>
  <c r="H1238" i="4"/>
  <c r="H1116" i="4"/>
  <c r="H554" i="4"/>
  <c r="H550" i="4"/>
  <c r="H748" i="4"/>
  <c r="H188" i="4"/>
  <c r="H1132" i="4"/>
  <c r="H1083" i="4"/>
  <c r="H248" i="4"/>
  <c r="H279" i="4"/>
  <c r="H1087" i="4"/>
  <c r="H293" i="4"/>
  <c r="H91" i="4"/>
  <c r="H1143" i="4"/>
  <c r="H859" i="4"/>
  <c r="H1190" i="4"/>
  <c r="H1079" i="4"/>
  <c r="H892" i="4"/>
  <c r="H254" i="4"/>
  <c r="H129" i="4"/>
  <c r="H123" i="4" s="1"/>
  <c r="H122" i="4" s="1"/>
  <c r="H217" i="4"/>
  <c r="H154" i="4"/>
  <c r="H442" i="4"/>
  <c r="H441" i="4" s="1"/>
  <c r="H385" i="4"/>
  <c r="H1267" i="4" s="1"/>
  <c r="H623" i="4"/>
  <c r="H612" i="4" s="1"/>
  <c r="H1011" i="4"/>
  <c r="H1010" i="4" s="1"/>
  <c r="H1009" i="4" s="1"/>
  <c r="H989" i="4"/>
  <c r="H922" i="4"/>
  <c r="H921" i="4" s="1"/>
  <c r="H821" i="4"/>
  <c r="H820" i="4" s="1"/>
  <c r="H774" i="4"/>
  <c r="H485" i="4"/>
  <c r="H192" i="4"/>
  <c r="H1258" i="4"/>
  <c r="H160" i="4"/>
  <c r="H159" i="4" s="1"/>
  <c r="H1164" i="4"/>
  <c r="H1261" i="4"/>
  <c r="H1028" i="4"/>
  <c r="H982" i="4"/>
  <c r="H977" i="4"/>
  <c r="H956" i="4"/>
  <c r="H955" i="4" s="1"/>
  <c r="H933" i="4"/>
  <c r="H850" i="4"/>
  <c r="H838" i="4"/>
  <c r="H811" i="4"/>
  <c r="H792" i="4"/>
  <c r="H741" i="4"/>
  <c r="H713" i="4"/>
  <c r="H659" i="4"/>
  <c r="H596" i="4"/>
  <c r="H569" i="4"/>
  <c r="H561" i="4"/>
  <c r="H525" i="4"/>
  <c r="H504" i="4"/>
  <c r="H474" i="4"/>
  <c r="H473" i="4" s="1"/>
  <c r="H455" i="4"/>
  <c r="H397" i="4"/>
  <c r="H372" i="4"/>
  <c r="H364" i="4"/>
  <c r="H1293" i="4"/>
  <c r="H312" i="4"/>
  <c r="H300" i="4"/>
  <c r="H220" i="4"/>
  <c r="H191" i="4"/>
  <c r="H1297" i="4"/>
  <c r="H1296" i="4"/>
  <c r="H112" i="4"/>
  <c r="H80" i="4"/>
  <c r="H50" i="4"/>
  <c r="H31" i="4"/>
  <c r="H988" i="4"/>
  <c r="H864" i="4"/>
  <c r="C171" i="1"/>
  <c r="E171" i="1" s="1"/>
  <c r="H1010" i="5" l="1"/>
  <c r="H124" i="5"/>
  <c r="H508" i="5"/>
  <c r="G351" i="3"/>
  <c r="H32" i="6"/>
  <c r="H258" i="5"/>
  <c r="H944" i="5"/>
  <c r="H34" i="5"/>
  <c r="H90" i="5"/>
  <c r="H859" i="5"/>
  <c r="H818" i="5"/>
  <c r="E10" i="2"/>
  <c r="E50" i="2" s="1"/>
  <c r="H404" i="5"/>
  <c r="H932" i="5"/>
  <c r="H796" i="5"/>
  <c r="H829" i="5"/>
  <c r="H146" i="5"/>
  <c r="G269" i="3"/>
  <c r="E25" i="2"/>
  <c r="E21" i="2" s="1"/>
  <c r="H1046" i="5"/>
  <c r="H806" i="5"/>
  <c r="E26" i="2"/>
  <c r="H1018" i="5"/>
  <c r="G8" i="3"/>
  <c r="G1139" i="3" s="1"/>
  <c r="H128" i="5"/>
  <c r="H723" i="5"/>
  <c r="G530" i="3"/>
  <c r="H153" i="4"/>
  <c r="H292" i="4"/>
  <c r="H1273" i="4"/>
  <c r="H1189" i="4"/>
  <c r="H241" i="4"/>
  <c r="H553" i="4"/>
  <c r="H1092" i="4"/>
  <c r="H1199" i="4"/>
  <c r="H1288" i="4"/>
  <c r="H1106" i="4"/>
  <c r="H1142" i="4"/>
  <c r="H546" i="4"/>
  <c r="H1232" i="4"/>
  <c r="H1231" i="4" s="1"/>
  <c r="H1230" i="4" s="1"/>
  <c r="H270" i="4"/>
  <c r="H215" i="4"/>
  <c r="H216" i="4"/>
  <c r="H278" i="4"/>
  <c r="H1120" i="4"/>
  <c r="H187" i="4"/>
  <c r="H342" i="4"/>
  <c r="H1062" i="4"/>
  <c r="H1027" i="4"/>
  <c r="H1279" i="4"/>
  <c r="H1163" i="4"/>
  <c r="H981" i="4"/>
  <c r="H976" i="4"/>
  <c r="H954" i="4"/>
  <c r="H932" i="4"/>
  <c r="H863" i="4"/>
  <c r="H833" i="4"/>
  <c r="H810" i="4"/>
  <c r="H773" i="4"/>
  <c r="H772" i="4" s="1"/>
  <c r="H692" i="4"/>
  <c r="H1264" i="4"/>
  <c r="H588" i="4"/>
  <c r="H568" i="4"/>
  <c r="H560" i="4"/>
  <c r="H524" i="4"/>
  <c r="H503" i="4"/>
  <c r="H472" i="4"/>
  <c r="H454" i="4"/>
  <c r="H396" i="4"/>
  <c r="H363" i="4"/>
  <c r="H299" i="4"/>
  <c r="H158" i="4"/>
  <c r="H121" i="4"/>
  <c r="H111" i="4"/>
  <c r="H1283" i="4"/>
  <c r="H1253" i="4"/>
  <c r="H1247" i="4"/>
  <c r="H30" i="4"/>
  <c r="F77" i="3"/>
  <c r="C165" i="1"/>
  <c r="E165" i="1" s="1"/>
  <c r="G67" i="4"/>
  <c r="I67" i="4" s="1"/>
  <c r="G63" i="4"/>
  <c r="I63" i="4" s="1"/>
  <c r="D19" i="7" l="1"/>
  <c r="E54" i="2"/>
  <c r="H916" i="5"/>
  <c r="H858" i="5"/>
  <c r="H31" i="6"/>
  <c r="H1009" i="5"/>
  <c r="H813" i="5"/>
  <c r="H83" i="5"/>
  <c r="H245" i="5"/>
  <c r="H1045" i="5"/>
  <c r="H145" i="5"/>
  <c r="H791" i="5"/>
  <c r="H403" i="5"/>
  <c r="H720" i="5"/>
  <c r="H722" i="5"/>
  <c r="H121" i="5"/>
  <c r="H123" i="5"/>
  <c r="H1017" i="5"/>
  <c r="H33" i="5"/>
  <c r="H507" i="5"/>
  <c r="F76" i="3"/>
  <c r="H77" i="3"/>
  <c r="H1119" i="4"/>
  <c r="H1198" i="4"/>
  <c r="H1091" i="4"/>
  <c r="G62" i="4"/>
  <c r="I62" i="4" s="1"/>
  <c r="H1291" i="4"/>
  <c r="H1284" i="4"/>
  <c r="H214" i="4"/>
  <c r="H1294" i="4"/>
  <c r="H1188" i="4"/>
  <c r="H179" i="4"/>
  <c r="H269" i="4"/>
  <c r="H545" i="4"/>
  <c r="H1295" i="4"/>
  <c r="H341" i="4"/>
  <c r="H1105" i="4"/>
  <c r="H240" i="4"/>
  <c r="H152" i="4"/>
  <c r="H1147" i="4"/>
  <c r="H975" i="4"/>
  <c r="H953" i="4"/>
  <c r="H920" i="4"/>
  <c r="H858" i="4"/>
  <c r="H1286" i="4"/>
  <c r="H819" i="4"/>
  <c r="H809" i="4"/>
  <c r="H658" i="4"/>
  <c r="H657" i="4" s="1"/>
  <c r="H587" i="4"/>
  <c r="H1270" i="4"/>
  <c r="H559" i="4"/>
  <c r="H502" i="4"/>
  <c r="H440" i="4"/>
  <c r="H362" i="4"/>
  <c r="H298" i="4"/>
  <c r="H110" i="4"/>
  <c r="H29" i="4"/>
  <c r="G928" i="4"/>
  <c r="I928" i="4" s="1"/>
  <c r="H32" i="5" l="1"/>
  <c r="H790" i="5"/>
  <c r="H75" i="5"/>
  <c r="H506" i="5"/>
  <c r="H1016" i="5"/>
  <c r="H721" i="5"/>
  <c r="H402" i="5"/>
  <c r="H144" i="5"/>
  <c r="H812" i="5"/>
  <c r="H857" i="5"/>
  <c r="H915" i="5"/>
  <c r="H122" i="5"/>
  <c r="H699" i="5"/>
  <c r="H1044" i="5"/>
  <c r="H30" i="6"/>
  <c r="H194" i="5"/>
  <c r="H1008" i="5"/>
  <c r="F75" i="3"/>
  <c r="H75" i="3" s="1"/>
  <c r="H76" i="3"/>
  <c r="H340" i="4"/>
  <c r="H207" i="4"/>
  <c r="H151" i="4"/>
  <c r="H1104" i="4"/>
  <c r="H1026" i="4"/>
  <c r="H1187" i="4"/>
  <c r="H268" i="4"/>
  <c r="H1280" i="4"/>
  <c r="H1197" i="4"/>
  <c r="H1292" i="4"/>
  <c r="H230" i="4"/>
  <c r="H544" i="4"/>
  <c r="H178" i="4"/>
  <c r="H1290" i="4"/>
  <c r="H974" i="4"/>
  <c r="H857" i="4"/>
  <c r="H1281" i="4"/>
  <c r="H586" i="4"/>
  <c r="H558" i="4"/>
  <c r="H501" i="4"/>
  <c r="H361" i="4"/>
  <c r="H297" i="4"/>
  <c r="H1287" i="4"/>
  <c r="H28" i="4"/>
  <c r="G1181" i="4"/>
  <c r="I1181" i="4" s="1"/>
  <c r="G1178" i="4"/>
  <c r="I1178" i="4" s="1"/>
  <c r="G1159" i="4"/>
  <c r="I1159" i="4" s="1"/>
  <c r="G1019" i="4"/>
  <c r="I1019" i="4" s="1"/>
  <c r="G943" i="4"/>
  <c r="I943" i="4" s="1"/>
  <c r="G198" i="4"/>
  <c r="I198" i="4" s="1"/>
  <c r="G196" i="4"/>
  <c r="I196" i="4" s="1"/>
  <c r="G90" i="4"/>
  <c r="I90" i="4" s="1"/>
  <c r="G88" i="4"/>
  <c r="I88" i="4" s="1"/>
  <c r="H1007" i="5" l="1"/>
  <c r="H788" i="5"/>
  <c r="H789" i="5"/>
  <c r="H591" i="5"/>
  <c r="H856" i="5"/>
  <c r="H1043" i="5"/>
  <c r="H143" i="5"/>
  <c r="H505" i="5"/>
  <c r="H504" i="5"/>
  <c r="H193" i="5"/>
  <c r="H29" i="6"/>
  <c r="H914" i="5"/>
  <c r="H810" i="5"/>
  <c r="H811" i="5"/>
  <c r="H401" i="5"/>
  <c r="H1015" i="5"/>
  <c r="H1014" i="5"/>
  <c r="H30" i="5"/>
  <c r="H31" i="5"/>
  <c r="H1268" i="4"/>
  <c r="H1269" i="4" s="1"/>
  <c r="H267" i="4"/>
  <c r="H523" i="4"/>
  <c r="H1254" i="4"/>
  <c r="H177" i="4"/>
  <c r="H229" i="4"/>
  <c r="H1196" i="4"/>
  <c r="H1195" i="4" s="1"/>
  <c r="H1096" i="4"/>
  <c r="H1289" i="4"/>
  <c r="H1299" i="4" s="1"/>
  <c r="H1051" i="5" s="1"/>
  <c r="H1255" i="4"/>
  <c r="H849" i="4"/>
  <c r="H1271" i="4"/>
  <c r="H1272" i="4" s="1"/>
  <c r="H585" i="4"/>
  <c r="H574" i="4" s="1"/>
  <c r="H1274" i="4"/>
  <c r="H360" i="4"/>
  <c r="H296" i="4"/>
  <c r="H27" i="4"/>
  <c r="G962" i="4"/>
  <c r="I962" i="4" s="1"/>
  <c r="G16" i="4"/>
  <c r="I16" i="4" s="1"/>
  <c r="H913" i="5" l="1"/>
  <c r="H109" i="5"/>
  <c r="H787" i="5"/>
  <c r="H1021" i="5"/>
  <c r="H315" i="5"/>
  <c r="H1042" i="5"/>
  <c r="H163" i="5"/>
  <c r="H844" i="5"/>
  <c r="H41" i="6"/>
  <c r="H1006" i="5"/>
  <c r="H1256" i="4"/>
  <c r="H1257" i="4" s="1"/>
  <c r="H1251" i="4"/>
  <c r="H522" i="4"/>
  <c r="H1008" i="4"/>
  <c r="H1265" i="4"/>
  <c r="H1266" i="4" s="1"/>
  <c r="H1262" i="4"/>
  <c r="H1263" i="4" s="1"/>
  <c r="H228" i="4"/>
  <c r="H1252" i="4"/>
  <c r="G841" i="4"/>
  <c r="I841" i="4" s="1"/>
  <c r="H29" i="5" l="1"/>
  <c r="H1013" i="5"/>
  <c r="H162" i="5"/>
  <c r="H1041" i="5"/>
  <c r="H952" i="4"/>
  <c r="H1259" i="4"/>
  <c r="H1260" i="4" s="1"/>
  <c r="H1276" i="4" s="1"/>
  <c r="H1244" i="4"/>
  <c r="G796" i="4"/>
  <c r="I796" i="4" s="1"/>
  <c r="H1246" i="4" l="1"/>
  <c r="E51" i="2"/>
  <c r="E52" i="2" s="1"/>
  <c r="G1140" i="3"/>
  <c r="G1141" i="3" s="1"/>
  <c r="H1049" i="5"/>
  <c r="H1275" i="4"/>
  <c r="H1277" i="4" s="1"/>
  <c r="G458" i="4"/>
  <c r="I458" i="4" s="1"/>
  <c r="G445" i="4"/>
  <c r="I445" i="4" s="1"/>
  <c r="G868" i="4"/>
  <c r="I868" i="4" s="1"/>
  <c r="G925" i="4"/>
  <c r="I925" i="4" s="1"/>
  <c r="G1176" i="4"/>
  <c r="I1176" i="4" s="1"/>
  <c r="G1152" i="4"/>
  <c r="I1152" i="4" s="1"/>
  <c r="G997" i="4"/>
  <c r="I997" i="4" s="1"/>
  <c r="H1052" i="5" l="1"/>
  <c r="C28" i="1"/>
  <c r="E28" i="1" s="1"/>
  <c r="G1039" i="4"/>
  <c r="I1039" i="4" s="1"/>
  <c r="G529" i="4"/>
  <c r="I529" i="4" s="1"/>
  <c r="G171" i="4"/>
  <c r="I171" i="4" s="1"/>
  <c r="G103" i="4"/>
  <c r="I103" i="4" s="1"/>
  <c r="G46" i="4"/>
  <c r="I46" i="4" s="1"/>
  <c r="G126" i="4"/>
  <c r="I126" i="4" s="1"/>
  <c r="G43" i="4"/>
  <c r="I43" i="4" s="1"/>
  <c r="G34" i="4"/>
  <c r="I34" i="4" s="1"/>
  <c r="G460" i="4"/>
  <c r="I460" i="4" s="1"/>
  <c r="G412" i="4" l="1"/>
  <c r="I412" i="4" s="1"/>
  <c r="G402" i="4"/>
  <c r="I402" i="4" s="1"/>
  <c r="G1186" i="4" l="1"/>
  <c r="I1186" i="4" s="1"/>
  <c r="G1134" i="4"/>
  <c r="I1134" i="4" s="1"/>
  <c r="G1123" i="4"/>
  <c r="I1123" i="4" s="1"/>
  <c r="G1118" i="4"/>
  <c r="I1118" i="4" s="1"/>
  <c r="G1112" i="4"/>
  <c r="I1112" i="4" s="1"/>
  <c r="G1025" i="4"/>
  <c r="I1025" i="4" s="1"/>
  <c r="G1022" i="4"/>
  <c r="I1022" i="4" s="1"/>
  <c r="G1014" i="4"/>
  <c r="I1014" i="4" s="1"/>
  <c r="G999" i="4" l="1"/>
  <c r="I999" i="4" s="1"/>
  <c r="G968" i="4"/>
  <c r="I968" i="4" s="1"/>
  <c r="G966" i="4"/>
  <c r="I966" i="4" s="1"/>
  <c r="G964" i="4"/>
  <c r="I964" i="4" s="1"/>
  <c r="G730" i="4" l="1"/>
  <c r="I730" i="4" s="1"/>
  <c r="G709" i="4"/>
  <c r="I709" i="4" s="1"/>
  <c r="G516" i="4" l="1"/>
  <c r="I516" i="4" s="1"/>
  <c r="G509" i="4"/>
  <c r="I509" i="4" s="1"/>
  <c r="G507" i="4"/>
  <c r="I507" i="4" s="1"/>
  <c r="G500" i="4"/>
  <c r="I500" i="4" s="1"/>
  <c r="G247" i="4"/>
  <c r="I247" i="4" s="1"/>
  <c r="G384" i="4"/>
  <c r="I384" i="4" s="1"/>
  <c r="G371" i="4"/>
  <c r="I371" i="4" s="1"/>
  <c r="G369" i="4"/>
  <c r="I369" i="4" s="1"/>
  <c r="G321" i="4"/>
  <c r="I321" i="4" s="1"/>
  <c r="G305" i="4"/>
  <c r="I305" i="4" s="1"/>
  <c r="G303" i="4"/>
  <c r="I303" i="4" s="1"/>
  <c r="G18" i="4"/>
  <c r="I18" i="4" s="1"/>
  <c r="G20" i="4"/>
  <c r="I20" i="4" s="1"/>
  <c r="G848" i="4"/>
  <c r="I848" i="4" s="1"/>
  <c r="G829" i="4"/>
  <c r="I829" i="4" s="1"/>
  <c r="G699" i="4"/>
  <c r="I699" i="4" s="1"/>
  <c r="G622" i="4"/>
  <c r="I622" i="4" s="1"/>
  <c r="G1044" i="4" l="1"/>
  <c r="I1044" i="4" s="1"/>
  <c r="G871" i="4"/>
  <c r="I871" i="4" s="1"/>
  <c r="G874" i="4"/>
  <c r="I874" i="4" s="1"/>
  <c r="G367" i="4"/>
  <c r="I367" i="4" s="1"/>
  <c r="G400" i="4"/>
  <c r="I400" i="4" s="1"/>
  <c r="C138" i="1" l="1"/>
  <c r="E138" i="1" s="1"/>
  <c r="G629" i="4" l="1"/>
  <c r="I629" i="4" s="1"/>
  <c r="G632" i="4"/>
  <c r="I632" i="4" s="1"/>
  <c r="G1243" i="4" l="1"/>
  <c r="I1243" i="4" s="1"/>
  <c r="G1210" i="4"/>
  <c r="I1210" i="4" s="1"/>
  <c r="G931" i="4"/>
  <c r="I931" i="4" s="1"/>
  <c r="G832" i="4"/>
  <c r="I832" i="4" s="1"/>
  <c r="G539" i="4"/>
  <c r="I539" i="4" s="1"/>
  <c r="G453" i="4"/>
  <c r="I453" i="4" s="1"/>
  <c r="G109" i="4"/>
  <c r="I109" i="4" s="1"/>
  <c r="G1169" i="4" l="1"/>
  <c r="I1169" i="4" s="1"/>
  <c r="G1031" i="4"/>
  <c r="I1031" i="4" s="1"/>
  <c r="G1154" i="4"/>
  <c r="I1154" i="4" s="1"/>
  <c r="G1070" i="4"/>
  <c r="I1070" i="4" s="1"/>
  <c r="G980" i="4"/>
  <c r="I980" i="4" s="1"/>
  <c r="G1194" i="4"/>
  <c r="I1194" i="4" s="1"/>
  <c r="G973" i="4"/>
  <c r="I973" i="4" s="1"/>
  <c r="G959" i="4"/>
  <c r="I959" i="4" s="1"/>
  <c r="F1097" i="3" l="1"/>
  <c r="F946" i="3"/>
  <c r="F836" i="3"/>
  <c r="F505" i="3"/>
  <c r="F141" i="3"/>
  <c r="F127" i="3"/>
  <c r="F74" i="3"/>
  <c r="G60" i="4"/>
  <c r="F62" i="3"/>
  <c r="F22" i="3"/>
  <c r="G1242" i="4"/>
  <c r="G1209" i="4"/>
  <c r="G1161" i="4"/>
  <c r="G930" i="4"/>
  <c r="G831" i="4"/>
  <c r="G538" i="4"/>
  <c r="G452" i="4"/>
  <c r="G108" i="4"/>
  <c r="F21" i="3" l="1"/>
  <c r="H22" i="3"/>
  <c r="F945" i="3"/>
  <c r="H946" i="3"/>
  <c r="F504" i="3"/>
  <c r="H505" i="3"/>
  <c r="F73" i="3"/>
  <c r="H74" i="3"/>
  <c r="F835" i="3"/>
  <c r="H836" i="3"/>
  <c r="F126" i="3"/>
  <c r="H127" i="3"/>
  <c r="F61" i="3"/>
  <c r="H62" i="3"/>
  <c r="F140" i="3"/>
  <c r="H141" i="3"/>
  <c r="F1096" i="3"/>
  <c r="H1097" i="3"/>
  <c r="G537" i="4"/>
  <c r="I537" i="4" s="1"/>
  <c r="I538" i="4"/>
  <c r="G1208" i="4"/>
  <c r="I1208" i="4" s="1"/>
  <c r="I1209" i="4"/>
  <c r="G59" i="4"/>
  <c r="I59" i="4" s="1"/>
  <c r="I60" i="4"/>
  <c r="G830" i="4"/>
  <c r="I830" i="4" s="1"/>
  <c r="I831" i="4"/>
  <c r="G1241" i="4"/>
  <c r="I1241" i="4" s="1"/>
  <c r="I1242" i="4"/>
  <c r="G107" i="4"/>
  <c r="I107" i="4" s="1"/>
  <c r="I108" i="4"/>
  <c r="G929" i="4"/>
  <c r="I929" i="4" s="1"/>
  <c r="I930" i="4"/>
  <c r="G451" i="4"/>
  <c r="I451" i="4" s="1"/>
  <c r="I452" i="4"/>
  <c r="G1160" i="4"/>
  <c r="I1160" i="4" s="1"/>
  <c r="I1161" i="4"/>
  <c r="G48" i="4"/>
  <c r="G25" i="4"/>
  <c r="F125" i="3" l="1"/>
  <c r="H125" i="3" s="1"/>
  <c r="H126" i="3"/>
  <c r="F944" i="3"/>
  <c r="H944" i="3" s="1"/>
  <c r="H945" i="3"/>
  <c r="F139" i="3"/>
  <c r="H139" i="3" s="1"/>
  <c r="H140" i="3"/>
  <c r="F72" i="3"/>
  <c r="H72" i="3" s="1"/>
  <c r="H73" i="3"/>
  <c r="F1095" i="3"/>
  <c r="H1095" i="3" s="1"/>
  <c r="H1096" i="3"/>
  <c r="F60" i="3"/>
  <c r="H60" i="3" s="1"/>
  <c r="H61" i="3"/>
  <c r="F834" i="3"/>
  <c r="H834" i="3" s="1"/>
  <c r="H835" i="3"/>
  <c r="F503" i="3"/>
  <c r="H503" i="3" s="1"/>
  <c r="H504" i="3"/>
  <c r="F20" i="3"/>
  <c r="H20" i="3" s="1"/>
  <c r="H21" i="3"/>
  <c r="G24" i="4"/>
  <c r="I24" i="4" s="1"/>
  <c r="I25" i="4"/>
  <c r="G47" i="4"/>
  <c r="I47" i="4" s="1"/>
  <c r="I48" i="4"/>
  <c r="C103" i="1"/>
  <c r="E103" i="1" s="1"/>
  <c r="C50" i="1" l="1"/>
  <c r="E50" i="1" s="1"/>
  <c r="G1202" i="4" l="1"/>
  <c r="I1202" i="4" s="1"/>
  <c r="G1226" i="4"/>
  <c r="I1226" i="4" s="1"/>
  <c r="G618" i="5" l="1"/>
  <c r="F873" i="3"/>
  <c r="G379" i="4"/>
  <c r="G617" i="5" l="1"/>
  <c r="I618" i="5"/>
  <c r="F872" i="3"/>
  <c r="H873" i="3"/>
  <c r="G378" i="4"/>
  <c r="I378" i="4" s="1"/>
  <c r="I379" i="4"/>
  <c r="G619" i="5"/>
  <c r="I619" i="5" s="1"/>
  <c r="F940" i="14"/>
  <c r="F939" i="14" s="1"/>
  <c r="F512" i="14"/>
  <c r="F511" i="14" s="1"/>
  <c r="F509" i="14"/>
  <c r="F508" i="14" s="1"/>
  <c r="F519" i="14"/>
  <c r="F518" i="14" s="1"/>
  <c r="F658" i="14"/>
  <c r="F657" i="14" s="1"/>
  <c r="F592" i="14"/>
  <c r="F591" i="14" s="1"/>
  <c r="F616" i="14"/>
  <c r="F615" i="14" s="1"/>
  <c r="G616" i="5" l="1"/>
  <c r="I616" i="5" s="1"/>
  <c r="I617" i="5"/>
  <c r="F871" i="3"/>
  <c r="H871" i="3" s="1"/>
  <c r="H872" i="3"/>
  <c r="G536" i="4"/>
  <c r="I536" i="4" s="1"/>
  <c r="G549" i="4"/>
  <c r="I549" i="4" s="1"/>
  <c r="G567" i="4"/>
  <c r="I567" i="4" s="1"/>
  <c r="G564" i="4"/>
  <c r="I564" i="4" s="1"/>
  <c r="G531" i="4"/>
  <c r="I531" i="4" s="1"/>
  <c r="C102" i="1" l="1"/>
  <c r="E102" i="1" s="1"/>
  <c r="G173" i="4" l="1"/>
  <c r="I173" i="4" s="1"/>
  <c r="G164" i="4"/>
  <c r="I164" i="4" s="1"/>
  <c r="G36" i="4"/>
  <c r="I36" i="4" s="1"/>
  <c r="G595" i="4" l="1"/>
  <c r="I595" i="4" s="1"/>
  <c r="G592" i="4"/>
  <c r="I592" i="4" s="1"/>
  <c r="G797" i="15" l="1"/>
  <c r="G796" i="15" s="1"/>
  <c r="G725" i="15"/>
  <c r="G724" i="15" s="1"/>
  <c r="G683" i="15"/>
  <c r="G682" i="15" s="1"/>
  <c r="G659" i="15"/>
  <c r="G658" i="15" s="1"/>
  <c r="G824" i="4" l="1"/>
  <c r="I824" i="4" s="1"/>
  <c r="G803" i="4"/>
  <c r="I803" i="4" s="1"/>
  <c r="C155" i="1" l="1"/>
  <c r="E155" i="1" s="1"/>
  <c r="G782" i="4" l="1"/>
  <c r="I782" i="4" s="1"/>
  <c r="G676" i="4"/>
  <c r="I676" i="4" s="1"/>
  <c r="G599" i="4"/>
  <c r="I599" i="4" s="1"/>
  <c r="C157" i="1"/>
  <c r="E157" i="1" s="1"/>
  <c r="G726" i="4" l="1"/>
  <c r="I726" i="4" s="1"/>
  <c r="C147" i="1"/>
  <c r="E147" i="1" s="1"/>
  <c r="C132" i="1"/>
  <c r="E132" i="1" s="1"/>
  <c r="G284" i="4"/>
  <c r="I284" i="4" s="1"/>
  <c r="G377" i="4"/>
  <c r="I377" i="4" s="1"/>
  <c r="G669" i="4"/>
  <c r="I669" i="4" s="1"/>
  <c r="G1224" i="4" l="1"/>
  <c r="I1224" i="4" s="1"/>
  <c r="G1235" i="4"/>
  <c r="I1235" i="4" s="1"/>
  <c r="G705" i="4"/>
  <c r="I705" i="4" s="1"/>
  <c r="G484" i="4"/>
  <c r="I484" i="4" s="1"/>
  <c r="G375" i="4"/>
  <c r="I375" i="4" s="1"/>
  <c r="G353" i="4"/>
  <c r="I353" i="4" s="1"/>
  <c r="G737" i="4" l="1"/>
  <c r="I737" i="4" s="1"/>
  <c r="F387" i="3" l="1"/>
  <c r="G186" i="4"/>
  <c r="I186" i="4" s="1"/>
  <c r="G646" i="4"/>
  <c r="I646" i="4" s="1"/>
  <c r="F386" i="3" l="1"/>
  <c r="H387" i="3"/>
  <c r="G1109" i="4"/>
  <c r="I1109" i="4" s="1"/>
  <c r="G951" i="4"/>
  <c r="I951" i="4" s="1"/>
  <c r="G949" i="4"/>
  <c r="I949" i="4" s="1"/>
  <c r="G826" i="4"/>
  <c r="I826" i="4" s="1"/>
  <c r="G843" i="4"/>
  <c r="I843" i="4" s="1"/>
  <c r="G837" i="4"/>
  <c r="I837" i="4" s="1"/>
  <c r="G778" i="4"/>
  <c r="I778" i="4" s="1"/>
  <c r="F385" i="3" l="1"/>
  <c r="H385" i="3" s="1"/>
  <c r="H386" i="3"/>
  <c r="G489" i="4"/>
  <c r="I489" i="4" s="1"/>
  <c r="G236" i="4"/>
  <c r="I236" i="4" s="1"/>
  <c r="G493" i="4"/>
  <c r="I493" i="4" s="1"/>
  <c r="G150" i="4"/>
  <c r="I150" i="4" s="1"/>
  <c r="G315" i="4"/>
  <c r="I315" i="4" s="1"/>
  <c r="G307" i="4"/>
  <c r="I307" i="4" s="1"/>
  <c r="D96" i="12" l="1"/>
  <c r="C96" i="12"/>
  <c r="C19" i="1" l="1"/>
  <c r="E19" i="1" s="1"/>
  <c r="C18" i="1"/>
  <c r="C20" i="1"/>
  <c r="E20" i="1" s="1"/>
  <c r="E18" i="1" l="1"/>
  <c r="C17" i="1"/>
  <c r="E17" i="1" s="1"/>
  <c r="C125" i="1"/>
  <c r="E125" i="1" s="1"/>
  <c r="G1043" i="4" l="1"/>
  <c r="G1042" i="4" l="1"/>
  <c r="I1042" i="4" s="1"/>
  <c r="I1043" i="4"/>
  <c r="G1040" i="5"/>
  <c r="F242" i="3"/>
  <c r="H242" i="3" s="1"/>
  <c r="G265" i="4"/>
  <c r="G1039" i="5" l="1"/>
  <c r="I1040" i="5"/>
  <c r="G264" i="4"/>
  <c r="I265" i="4"/>
  <c r="C153" i="1"/>
  <c r="E153" i="1" s="1"/>
  <c r="G106" i="4"/>
  <c r="I106" i="4" s="1"/>
  <c r="G79" i="4"/>
  <c r="I79" i="4" s="1"/>
  <c r="G77" i="4"/>
  <c r="I77" i="4" s="1"/>
  <c r="G1038" i="5" l="1"/>
  <c r="I1038" i="5" s="1"/>
  <c r="I1039" i="5"/>
  <c r="G263" i="4"/>
  <c r="I263" i="4" s="1"/>
  <c r="I264" i="4"/>
  <c r="G262" i="4"/>
  <c r="I262" i="4" s="1"/>
  <c r="G167" i="4"/>
  <c r="I167" i="4" s="1"/>
  <c r="G891" i="4" l="1"/>
  <c r="I891" i="4" s="1"/>
  <c r="G919" i="4"/>
  <c r="I919" i="4" s="1"/>
  <c r="G513" i="4"/>
  <c r="I513" i="4" s="1"/>
  <c r="G495" i="4"/>
  <c r="I495" i="4" s="1"/>
  <c r="G471" i="4"/>
  <c r="I471" i="4" s="1"/>
  <c r="G450" i="4"/>
  <c r="I450" i="4" s="1"/>
  <c r="G465" i="4"/>
  <c r="I465" i="4" s="1"/>
  <c r="G462" i="4"/>
  <c r="I462" i="4" s="1"/>
  <c r="G355" i="4"/>
  <c r="I355" i="4" s="1"/>
  <c r="G261" i="4"/>
  <c r="I261" i="4" s="1"/>
  <c r="G256" i="4"/>
  <c r="I256" i="4" s="1"/>
  <c r="G250" i="4"/>
  <c r="I250" i="4" s="1"/>
  <c r="G1237" i="4" l="1"/>
  <c r="I1237" i="4" s="1"/>
  <c r="G1204" i="4"/>
  <c r="I1204" i="4" s="1"/>
  <c r="G203" i="4"/>
  <c r="I203" i="4" s="1"/>
  <c r="G190" i="4"/>
  <c r="I190" i="4" s="1"/>
  <c r="G183" i="4"/>
  <c r="I183" i="4" s="1"/>
  <c r="G176" i="4"/>
  <c r="I176" i="4" s="1"/>
  <c r="G131" i="4"/>
  <c r="I131" i="4" s="1"/>
  <c r="G128" i="4"/>
  <c r="I128" i="4" s="1"/>
  <c r="G40" i="4"/>
  <c r="I40" i="4" s="1"/>
  <c r="G213" i="4"/>
  <c r="I213" i="4" s="1"/>
  <c r="G23" i="4"/>
  <c r="I23" i="4" s="1"/>
  <c r="G295" i="4"/>
  <c r="I295" i="4" s="1"/>
  <c r="G281" i="4"/>
  <c r="I281" i="4" s="1"/>
  <c r="G219" i="4"/>
  <c r="I219" i="4" s="1"/>
  <c r="G815" i="4"/>
  <c r="I815" i="4" s="1"/>
  <c r="G616" i="4"/>
  <c r="I616" i="4" s="1"/>
  <c r="G1018" i="15"/>
  <c r="G16" i="15"/>
  <c r="F165" i="3"/>
  <c r="F164" i="3" l="1"/>
  <c r="H164" i="3" s="1"/>
  <c r="H165" i="3"/>
  <c r="G573" i="4"/>
  <c r="I573" i="4" s="1"/>
  <c r="G1156" i="4" l="1"/>
  <c r="I1156" i="4" s="1"/>
  <c r="G1050" i="4"/>
  <c r="I1050" i="4" s="1"/>
  <c r="G1048" i="4"/>
  <c r="I1048" i="4" s="1"/>
  <c r="G965" i="4"/>
  <c r="I965" i="4" s="1"/>
  <c r="G1049" i="4" l="1"/>
  <c r="I1049" i="4" s="1"/>
  <c r="G1126" i="4"/>
  <c r="I1126" i="4" s="1"/>
  <c r="G771" i="4" l="1"/>
  <c r="I771" i="4" s="1"/>
  <c r="G702" i="4" l="1"/>
  <c r="I702" i="4" s="1"/>
  <c r="G404" i="4" l="1"/>
  <c r="I404" i="4" s="1"/>
  <c r="G84" i="4"/>
  <c r="I84" i="4" s="1"/>
  <c r="G673" i="4" l="1"/>
  <c r="I673" i="4" s="1"/>
  <c r="G758" i="4"/>
  <c r="I758" i="4" s="1"/>
  <c r="G751" i="4" l="1"/>
  <c r="I751" i="4" s="1"/>
  <c r="G754" i="4"/>
  <c r="I754" i="4" s="1"/>
  <c r="G557" i="4" l="1"/>
  <c r="I557" i="4" s="1"/>
  <c r="C11" i="7" l="1"/>
  <c r="C67" i="1" l="1"/>
  <c r="E67" i="1" s="1"/>
  <c r="C62" i="1" l="1"/>
  <c r="E62" i="1" s="1"/>
  <c r="C69" i="1"/>
  <c r="E69" i="1" s="1"/>
  <c r="G346" i="4" l="1"/>
  <c r="I346" i="4" s="1"/>
  <c r="G1101" i="4"/>
  <c r="I1101" i="4" s="1"/>
  <c r="G69" i="4"/>
  <c r="I69" i="4" s="1"/>
  <c r="G410" i="5" l="1"/>
  <c r="G406" i="5"/>
  <c r="F699" i="3"/>
  <c r="F696" i="3"/>
  <c r="G750" i="4"/>
  <c r="G753" i="4"/>
  <c r="G405" i="5" l="1"/>
  <c r="I406" i="5"/>
  <c r="G409" i="5"/>
  <c r="I410" i="5"/>
  <c r="F698" i="3"/>
  <c r="H699" i="3"/>
  <c r="F695" i="3"/>
  <c r="H696" i="3"/>
  <c r="G752" i="4"/>
  <c r="I752" i="4" s="1"/>
  <c r="I753" i="4"/>
  <c r="G749" i="4"/>
  <c r="I749" i="4" s="1"/>
  <c r="I750" i="4"/>
  <c r="G411" i="5"/>
  <c r="I411" i="5" s="1"/>
  <c r="G407" i="5"/>
  <c r="I407" i="5" s="1"/>
  <c r="G395" i="5"/>
  <c r="G399" i="5"/>
  <c r="G388" i="5"/>
  <c r="G384" i="5"/>
  <c r="F692" i="3"/>
  <c r="F689" i="3"/>
  <c r="F685" i="3"/>
  <c r="F682" i="3"/>
  <c r="G746" i="4"/>
  <c r="G743" i="4"/>
  <c r="G739" i="4"/>
  <c r="G736" i="4"/>
  <c r="G394" i="5" l="1"/>
  <c r="I395" i="5"/>
  <c r="G385" i="5"/>
  <c r="I385" i="5" s="1"/>
  <c r="I384" i="5"/>
  <c r="G387" i="5"/>
  <c r="I388" i="5"/>
  <c r="G408" i="5"/>
  <c r="I408" i="5" s="1"/>
  <c r="I409" i="5"/>
  <c r="G400" i="5"/>
  <c r="I400" i="5" s="1"/>
  <c r="I399" i="5"/>
  <c r="G404" i="5"/>
  <c r="I405" i="5"/>
  <c r="F681" i="3"/>
  <c r="H682" i="3"/>
  <c r="F684" i="3"/>
  <c r="H685" i="3"/>
  <c r="F694" i="3"/>
  <c r="H695" i="3"/>
  <c r="F688" i="3"/>
  <c r="H689" i="3"/>
  <c r="F691" i="3"/>
  <c r="H692" i="3"/>
  <c r="F697" i="3"/>
  <c r="H697" i="3" s="1"/>
  <c r="H698" i="3"/>
  <c r="G745" i="4"/>
  <c r="I745" i="4" s="1"/>
  <c r="I746" i="4"/>
  <c r="G735" i="4"/>
  <c r="I735" i="4" s="1"/>
  <c r="I736" i="4"/>
  <c r="G738" i="4"/>
  <c r="I738" i="4" s="1"/>
  <c r="I739" i="4"/>
  <c r="G742" i="4"/>
  <c r="I742" i="4" s="1"/>
  <c r="I743" i="4"/>
  <c r="G748" i="4"/>
  <c r="I748" i="4" s="1"/>
  <c r="G398" i="5"/>
  <c r="G396" i="5"/>
  <c r="I396" i="5" s="1"/>
  <c r="G389" i="5"/>
  <c r="I389" i="5" s="1"/>
  <c r="G383" i="5"/>
  <c r="G117" i="4"/>
  <c r="I117" i="4" s="1"/>
  <c r="I404" i="5" l="1"/>
  <c r="G403" i="5"/>
  <c r="G734" i="4"/>
  <c r="I734" i="4" s="1"/>
  <c r="G397" i="5"/>
  <c r="I398" i="5"/>
  <c r="G382" i="5"/>
  <c r="I383" i="5"/>
  <c r="G386" i="5"/>
  <c r="I386" i="5" s="1"/>
  <c r="I387" i="5"/>
  <c r="G393" i="5"/>
  <c r="I393" i="5" s="1"/>
  <c r="I394" i="5"/>
  <c r="F683" i="3"/>
  <c r="H683" i="3" s="1"/>
  <c r="H684" i="3"/>
  <c r="F687" i="3"/>
  <c r="H688" i="3"/>
  <c r="F690" i="3"/>
  <c r="H690" i="3" s="1"/>
  <c r="H691" i="3"/>
  <c r="H694" i="3"/>
  <c r="F693" i="3"/>
  <c r="H693" i="3" s="1"/>
  <c r="F680" i="3"/>
  <c r="H681" i="3"/>
  <c r="G741" i="4"/>
  <c r="I741" i="4" s="1"/>
  <c r="G1240" i="4"/>
  <c r="I1240" i="4" s="1"/>
  <c r="G392" i="5" l="1"/>
  <c r="I397" i="5"/>
  <c r="G381" i="5"/>
  <c r="I382" i="5"/>
  <c r="G402" i="5"/>
  <c r="I403" i="5"/>
  <c r="H687" i="3"/>
  <c r="F686" i="3"/>
  <c r="H686" i="3" s="1"/>
  <c r="H680" i="3"/>
  <c r="F679" i="3"/>
  <c r="H679" i="3" s="1"/>
  <c r="G663" i="4"/>
  <c r="I663" i="4" s="1"/>
  <c r="G380" i="5" l="1"/>
  <c r="I381" i="5"/>
  <c r="G401" i="5"/>
  <c r="I401" i="5" s="1"/>
  <c r="I402" i="5"/>
  <c r="G391" i="5"/>
  <c r="I392" i="5"/>
  <c r="G656" i="4"/>
  <c r="I656" i="4" s="1"/>
  <c r="G390" i="5" l="1"/>
  <c r="I390" i="5" s="1"/>
  <c r="I391" i="5"/>
  <c r="G379" i="5"/>
  <c r="I379" i="5" s="1"/>
  <c r="I380" i="5"/>
  <c r="C142" i="1"/>
  <c r="E142" i="1" s="1"/>
  <c r="F1128" i="3"/>
  <c r="G510" i="4"/>
  <c r="I510" i="4" s="1"/>
  <c r="F1127" i="3" l="1"/>
  <c r="H1127" i="3" s="1"/>
  <c r="H1128" i="3"/>
  <c r="G818" i="4"/>
  <c r="I818" i="4" s="1"/>
  <c r="G785" i="5"/>
  <c r="I785" i="5" s="1"/>
  <c r="F1080" i="3"/>
  <c r="G913" i="4"/>
  <c r="G436" i="5"/>
  <c r="F745" i="3"/>
  <c r="G799" i="4"/>
  <c r="G429" i="5"/>
  <c r="G1146" i="4"/>
  <c r="I1146" i="4" s="1"/>
  <c r="G435" i="5" l="1"/>
  <c r="I436" i="5"/>
  <c r="G428" i="5"/>
  <c r="I429" i="5"/>
  <c r="F744" i="3"/>
  <c r="H745" i="3"/>
  <c r="F1079" i="3"/>
  <c r="H1080" i="3"/>
  <c r="G912" i="4"/>
  <c r="I913" i="4"/>
  <c r="G798" i="4"/>
  <c r="I798" i="4" s="1"/>
  <c r="I799" i="4"/>
  <c r="C126" i="1"/>
  <c r="E126" i="1" s="1"/>
  <c r="G427" i="5" l="1"/>
  <c r="I428" i="5"/>
  <c r="G434" i="5"/>
  <c r="I435" i="5"/>
  <c r="F1078" i="3"/>
  <c r="H1079" i="3"/>
  <c r="F743" i="3"/>
  <c r="H743" i="3" s="1"/>
  <c r="H744" i="3"/>
  <c r="G911" i="4"/>
  <c r="I912" i="4"/>
  <c r="C12" i="1"/>
  <c r="E12" i="1" s="1"/>
  <c r="G437" i="5" l="1"/>
  <c r="I437" i="5" s="1"/>
  <c r="I434" i="5"/>
  <c r="G426" i="5"/>
  <c r="I427" i="5"/>
  <c r="F1077" i="3"/>
  <c r="H1078" i="3"/>
  <c r="G910" i="4"/>
  <c r="I910" i="4" s="1"/>
  <c r="I911" i="4"/>
  <c r="F152" i="3"/>
  <c r="G119" i="4"/>
  <c r="G115" i="4"/>
  <c r="I115" i="4" s="1"/>
  <c r="G425" i="5" l="1"/>
  <c r="I426" i="5"/>
  <c r="F151" i="3"/>
  <c r="H152" i="3"/>
  <c r="F1076" i="3"/>
  <c r="H1076" i="3" s="1"/>
  <c r="H1077" i="3"/>
  <c r="G118" i="4"/>
  <c r="I118" i="4" s="1"/>
  <c r="I119" i="4"/>
  <c r="F446" i="3"/>
  <c r="G1102" i="4"/>
  <c r="I1102" i="4" s="1"/>
  <c r="G424" i="5" l="1"/>
  <c r="I425" i="5"/>
  <c r="F445" i="3"/>
  <c r="H445" i="3" s="1"/>
  <c r="H446" i="3"/>
  <c r="F150" i="3"/>
  <c r="H150" i="3" s="1"/>
  <c r="H151" i="3"/>
  <c r="G421" i="5"/>
  <c r="F706" i="3"/>
  <c r="G760" i="4"/>
  <c r="G420" i="5" l="1"/>
  <c r="I421" i="5"/>
  <c r="I424" i="5"/>
  <c r="G430" i="5"/>
  <c r="I430" i="5" s="1"/>
  <c r="F705" i="3"/>
  <c r="H706" i="3"/>
  <c r="G759" i="4"/>
  <c r="I759" i="4" s="1"/>
  <c r="I760" i="4"/>
  <c r="C59" i="1"/>
  <c r="E59" i="1" s="1"/>
  <c r="C58" i="1"/>
  <c r="E58" i="1" s="1"/>
  <c r="C56" i="1"/>
  <c r="E56" i="1" s="1"/>
  <c r="C55" i="1"/>
  <c r="E55" i="1" s="1"/>
  <c r="G419" i="5" l="1"/>
  <c r="I420" i="5"/>
  <c r="F704" i="3"/>
  <c r="H704" i="3" s="1"/>
  <c r="H705" i="3"/>
  <c r="F311" i="14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40" i="12"/>
  <c r="G633" i="15"/>
  <c r="G632" i="15" s="1"/>
  <c r="G219" i="5"/>
  <c r="G218" i="5" l="1"/>
  <c r="I219" i="5"/>
  <c r="G422" i="5"/>
  <c r="I422" i="5" s="1"/>
  <c r="I419" i="5"/>
  <c r="G1218" i="4"/>
  <c r="I1218" i="4" s="1"/>
  <c r="C129" i="1"/>
  <c r="E129" i="1" s="1"/>
  <c r="F593" i="3"/>
  <c r="H593" i="3" s="1"/>
  <c r="F618" i="3"/>
  <c r="G672" i="4"/>
  <c r="F368" i="3"/>
  <c r="G1024" i="4"/>
  <c r="F177" i="3"/>
  <c r="G972" i="4"/>
  <c r="G217" i="5" l="1"/>
  <c r="I218" i="5"/>
  <c r="F176" i="3"/>
  <c r="H177" i="3"/>
  <c r="F617" i="3"/>
  <c r="H618" i="3"/>
  <c r="F367" i="3"/>
  <c r="H368" i="3"/>
  <c r="G971" i="4"/>
  <c r="I972" i="4"/>
  <c r="G671" i="4"/>
  <c r="I671" i="4" s="1"/>
  <c r="I672" i="4"/>
  <c r="G1023" i="4"/>
  <c r="I1023" i="4" s="1"/>
  <c r="I1024" i="4"/>
  <c r="G1128" i="4"/>
  <c r="I1128" i="4" s="1"/>
  <c r="G220" i="5" l="1"/>
  <c r="I220" i="5" s="1"/>
  <c r="I217" i="5"/>
  <c r="F616" i="3"/>
  <c r="H616" i="3" s="1"/>
  <c r="H617" i="3"/>
  <c r="F366" i="3"/>
  <c r="H366" i="3" s="1"/>
  <c r="H367" i="3"/>
  <c r="F175" i="3"/>
  <c r="H175" i="3" s="1"/>
  <c r="H176" i="3"/>
  <c r="G970" i="4"/>
  <c r="I971" i="4"/>
  <c r="G521" i="4"/>
  <c r="I521" i="4" s="1"/>
  <c r="G969" i="4" l="1"/>
  <c r="I969" i="4" s="1"/>
  <c r="I970" i="4"/>
  <c r="G629" i="14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89" i="5"/>
  <c r="F916" i="3"/>
  <c r="F881" i="3"/>
  <c r="G422" i="4"/>
  <c r="G429" i="4"/>
  <c r="I429" i="4" s="1"/>
  <c r="G387" i="4"/>
  <c r="G391" i="4"/>
  <c r="I391" i="4" s="1"/>
  <c r="G560" i="5"/>
  <c r="I560" i="5" s="1"/>
  <c r="G688" i="5" l="1"/>
  <c r="I689" i="5"/>
  <c r="F915" i="3"/>
  <c r="H916" i="3"/>
  <c r="G632" i="5"/>
  <c r="H881" i="3"/>
  <c r="G386" i="4"/>
  <c r="I386" i="4" s="1"/>
  <c r="I387" i="4"/>
  <c r="G421" i="4"/>
  <c r="I421" i="4" s="1"/>
  <c r="I422" i="4"/>
  <c r="F645" i="14"/>
  <c r="F644" i="14" s="1"/>
  <c r="F643" i="14" s="1"/>
  <c r="G246" i="16"/>
  <c r="G245" i="16" s="1"/>
  <c r="G244" i="16" s="1"/>
  <c r="G247" i="16" s="1"/>
  <c r="F880" i="3"/>
  <c r="H197" i="16"/>
  <c r="I353" i="15"/>
  <c r="J353" i="15"/>
  <c r="K353" i="15"/>
  <c r="G355" i="15"/>
  <c r="G631" i="5" l="1"/>
  <c r="I632" i="5"/>
  <c r="G687" i="5"/>
  <c r="I688" i="5"/>
  <c r="F879" i="3"/>
  <c r="H879" i="3" s="1"/>
  <c r="H880" i="3"/>
  <c r="F914" i="3"/>
  <c r="H914" i="3" s="1"/>
  <c r="H915" i="3"/>
  <c r="C13" i="12"/>
  <c r="D132" i="12"/>
  <c r="D133" i="12"/>
  <c r="D131" i="12"/>
  <c r="D141" i="12"/>
  <c r="G690" i="5" l="1"/>
  <c r="I690" i="5" s="1"/>
  <c r="I687" i="5"/>
  <c r="G630" i="5"/>
  <c r="I631" i="5"/>
  <c r="F369" i="14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633" i="5" l="1"/>
  <c r="I633" i="5" s="1"/>
  <c r="I630" i="5"/>
  <c r="G29" i="15"/>
  <c r="F1061" i="3" l="1"/>
  <c r="G894" i="4"/>
  <c r="F71" i="3"/>
  <c r="G56" i="4"/>
  <c r="I56" i="4" s="1"/>
  <c r="G57" i="4"/>
  <c r="I57" i="4" s="1"/>
  <c r="G370" i="15"/>
  <c r="G248" i="5"/>
  <c r="G198" i="5"/>
  <c r="G223" i="5"/>
  <c r="G742" i="5"/>
  <c r="F776" i="3"/>
  <c r="G334" i="4"/>
  <c r="I334" i="4" s="1"/>
  <c r="G324" i="4"/>
  <c r="F544" i="3"/>
  <c r="F727" i="3"/>
  <c r="G791" i="4"/>
  <c r="I791" i="4" s="1"/>
  <c r="G781" i="4"/>
  <c r="G611" i="4"/>
  <c r="I611" i="4" s="1"/>
  <c r="G598" i="4"/>
  <c r="F621" i="3"/>
  <c r="G691" i="4"/>
  <c r="I691" i="4" s="1"/>
  <c r="G675" i="4"/>
  <c r="G197" i="5" l="1"/>
  <c r="I198" i="5"/>
  <c r="G247" i="5"/>
  <c r="I248" i="5"/>
  <c r="G741" i="5"/>
  <c r="I742" i="5"/>
  <c r="G222" i="5"/>
  <c r="I223" i="5"/>
  <c r="F620" i="3"/>
  <c r="H621" i="3"/>
  <c r="F726" i="3"/>
  <c r="H727" i="3"/>
  <c r="F775" i="3"/>
  <c r="H776" i="3"/>
  <c r="F70" i="3"/>
  <c r="H70" i="3" s="1"/>
  <c r="H71" i="3"/>
  <c r="F543" i="3"/>
  <c r="H544" i="3"/>
  <c r="F1060" i="3"/>
  <c r="H1061" i="3"/>
  <c r="G674" i="4"/>
  <c r="I674" i="4" s="1"/>
  <c r="I675" i="4"/>
  <c r="G893" i="4"/>
  <c r="I893" i="4" s="1"/>
  <c r="I894" i="4"/>
  <c r="G780" i="4"/>
  <c r="I780" i="4" s="1"/>
  <c r="I781" i="4"/>
  <c r="G323" i="4"/>
  <c r="I323" i="4" s="1"/>
  <c r="I324" i="4"/>
  <c r="G597" i="4"/>
  <c r="I597" i="4" s="1"/>
  <c r="I598" i="4"/>
  <c r="G246" i="5" l="1"/>
  <c r="I247" i="5"/>
  <c r="G221" i="5"/>
  <c r="I222" i="5"/>
  <c r="G740" i="5"/>
  <c r="I741" i="5"/>
  <c r="G196" i="5"/>
  <c r="I197" i="5"/>
  <c r="F1059" i="3"/>
  <c r="H1059" i="3" s="1"/>
  <c r="H1060" i="3"/>
  <c r="F725" i="3"/>
  <c r="H725" i="3" s="1"/>
  <c r="H726" i="3"/>
  <c r="F542" i="3"/>
  <c r="H542" i="3" s="1"/>
  <c r="H543" i="3"/>
  <c r="F774" i="3"/>
  <c r="H774" i="3" s="1"/>
  <c r="H775" i="3"/>
  <c r="F619" i="3"/>
  <c r="H619" i="3" s="1"/>
  <c r="H620" i="3"/>
  <c r="G378" i="5"/>
  <c r="F678" i="3"/>
  <c r="G712" i="4"/>
  <c r="I712" i="4" s="1"/>
  <c r="G732" i="4"/>
  <c r="G199" i="5" l="1"/>
  <c r="I199" i="5" s="1"/>
  <c r="I196" i="5"/>
  <c r="G224" i="5"/>
  <c r="I224" i="5" s="1"/>
  <c r="I221" i="5"/>
  <c r="G377" i="5"/>
  <c r="I378" i="5"/>
  <c r="G743" i="5"/>
  <c r="I743" i="5" s="1"/>
  <c r="I740" i="5"/>
  <c r="I246" i="5"/>
  <c r="G249" i="5"/>
  <c r="I249" i="5" s="1"/>
  <c r="F677" i="3"/>
  <c r="H678" i="3"/>
  <c r="G731" i="4"/>
  <c r="I731" i="4" s="1"/>
  <c r="I732" i="4"/>
  <c r="G1215" i="4"/>
  <c r="I1215" i="4" s="1"/>
  <c r="G376" i="5" l="1"/>
  <c r="I377" i="5"/>
  <c r="F676" i="3"/>
  <c r="H676" i="3" s="1"/>
  <c r="H677" i="3"/>
  <c r="G578" i="5"/>
  <c r="G574" i="5"/>
  <c r="F315" i="3"/>
  <c r="G1006" i="4"/>
  <c r="F510" i="3"/>
  <c r="G1166" i="4"/>
  <c r="I1166" i="4" s="1"/>
  <c r="G573" i="5" l="1"/>
  <c r="I574" i="5"/>
  <c r="G577" i="5"/>
  <c r="I578" i="5"/>
  <c r="G375" i="5"/>
  <c r="I375" i="5" s="1"/>
  <c r="I376" i="5"/>
  <c r="F509" i="3"/>
  <c r="H509" i="3" s="1"/>
  <c r="H510" i="3"/>
  <c r="F314" i="3"/>
  <c r="H315" i="3"/>
  <c r="G1005" i="4"/>
  <c r="I1006" i="4"/>
  <c r="F376" i="3"/>
  <c r="G1032" i="4"/>
  <c r="I1032" i="4" s="1"/>
  <c r="G1095" i="4"/>
  <c r="I1095" i="4" s="1"/>
  <c r="I1298" i="4" s="1"/>
  <c r="G666" i="4"/>
  <c r="I666" i="4" s="1"/>
  <c r="G439" i="4"/>
  <c r="I439" i="4" s="1"/>
  <c r="G339" i="4"/>
  <c r="I339" i="4" s="1"/>
  <c r="G576" i="5" l="1"/>
  <c r="I577" i="5"/>
  <c r="G572" i="5"/>
  <c r="I573" i="5"/>
  <c r="F375" i="3"/>
  <c r="H375" i="3" s="1"/>
  <c r="H376" i="3"/>
  <c r="F313" i="3"/>
  <c r="H314" i="3"/>
  <c r="G1004" i="4"/>
  <c r="I1005" i="4"/>
  <c r="F1074" i="3"/>
  <c r="F1071" i="3"/>
  <c r="I572" i="5" l="1"/>
  <c r="G571" i="5"/>
  <c r="G575" i="5"/>
  <c r="I575" i="5" s="1"/>
  <c r="G579" i="5"/>
  <c r="I579" i="5" s="1"/>
  <c r="I576" i="5"/>
  <c r="F1070" i="3"/>
  <c r="H1070" i="3" s="1"/>
  <c r="H1071" i="3"/>
  <c r="F1073" i="3"/>
  <c r="H1073" i="3" s="1"/>
  <c r="H1074" i="3"/>
  <c r="F312" i="3"/>
  <c r="H313" i="3"/>
  <c r="G1003" i="4"/>
  <c r="I1004" i="4"/>
  <c r="G908" i="4"/>
  <c r="G905" i="4"/>
  <c r="C135" i="1"/>
  <c r="E135" i="1" s="1"/>
  <c r="F1069" i="3" l="1"/>
  <c r="H1069" i="3" s="1"/>
  <c r="G570" i="5"/>
  <c r="I571" i="5"/>
  <c r="F311" i="3"/>
  <c r="H311" i="3" s="1"/>
  <c r="H312" i="3"/>
  <c r="G904" i="4"/>
  <c r="I904" i="4" s="1"/>
  <c r="I905" i="4"/>
  <c r="G1002" i="4"/>
  <c r="I1002" i="4" s="1"/>
  <c r="I1003" i="4"/>
  <c r="G907" i="4"/>
  <c r="I907" i="4" s="1"/>
  <c r="I908" i="4"/>
  <c r="F1028" i="3"/>
  <c r="G861" i="4"/>
  <c r="G569" i="5" l="1"/>
  <c r="I569" i="5" s="1"/>
  <c r="I570" i="5"/>
  <c r="F1027" i="3"/>
  <c r="H1028" i="3"/>
  <c r="G860" i="4"/>
  <c r="I861" i="4"/>
  <c r="G903" i="4"/>
  <c r="I903" i="4" s="1"/>
  <c r="C130" i="1"/>
  <c r="E130" i="1" s="1"/>
  <c r="C177" i="1"/>
  <c r="E177" i="1" s="1"/>
  <c r="C175" i="1"/>
  <c r="C176" i="1"/>
  <c r="E176" i="1" s="1"/>
  <c r="E175" i="1" l="1"/>
  <c r="C174" i="1"/>
  <c r="F1026" i="3"/>
  <c r="H1027" i="3"/>
  <c r="G859" i="4"/>
  <c r="I859" i="4" s="1"/>
  <c r="I860" i="4"/>
  <c r="F347" i="14"/>
  <c r="F346" i="14" s="1"/>
  <c r="F345" i="14" s="1"/>
  <c r="F349" i="14"/>
  <c r="F348" i="14" s="1"/>
  <c r="G921" i="15"/>
  <c r="F1025" i="3" l="1"/>
  <c r="H1025" i="3" s="1"/>
  <c r="H1026" i="3"/>
  <c r="C173" i="1"/>
  <c r="C166" i="1" s="1"/>
  <c r="E174" i="1"/>
  <c r="G383" i="15"/>
  <c r="E166" i="1" l="1"/>
  <c r="E173" i="1"/>
  <c r="F336" i="14"/>
  <c r="F335" i="14" s="1"/>
  <c r="G910" i="15"/>
  <c r="F379" i="3" l="1"/>
  <c r="H379" i="3" s="1"/>
  <c r="G1034" i="4"/>
  <c r="I1034" i="4" s="1"/>
  <c r="H265" i="15" l="1"/>
  <c r="H1013" i="15"/>
  <c r="D103" i="12"/>
  <c r="D130" i="12"/>
  <c r="G902" i="4" l="1"/>
  <c r="G567" i="5" l="1"/>
  <c r="I902" i="4"/>
  <c r="F1068" i="3"/>
  <c r="G901" i="4"/>
  <c r="C106" i="1"/>
  <c r="E106" i="1" s="1"/>
  <c r="G524" i="15"/>
  <c r="H524" i="15" s="1"/>
  <c r="G566" i="5" l="1"/>
  <c r="I567" i="5"/>
  <c r="F1067" i="3"/>
  <c r="H1068" i="3"/>
  <c r="G900" i="4"/>
  <c r="I901" i="4"/>
  <c r="F1009" i="3"/>
  <c r="H1009" i="3" s="1"/>
  <c r="G565" i="5" l="1"/>
  <c r="I566" i="5"/>
  <c r="F1066" i="3"/>
  <c r="H1067" i="3"/>
  <c r="G899" i="4"/>
  <c r="I899" i="4" s="1"/>
  <c r="I900" i="4"/>
  <c r="G395" i="4"/>
  <c r="I395" i="4" s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32" i="15" s="1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564" i="5" l="1"/>
  <c r="I565" i="5"/>
  <c r="F1065" i="3"/>
  <c r="H1065" i="3" s="1"/>
  <c r="H1066" i="3"/>
  <c r="G1207" i="4"/>
  <c r="I1207" i="4" s="1"/>
  <c r="G22" i="5"/>
  <c r="F298" i="3"/>
  <c r="G996" i="4"/>
  <c r="I996" i="4" s="1"/>
  <c r="G21" i="5" l="1"/>
  <c r="I21" i="5" s="1"/>
  <c r="I22" i="5"/>
  <c r="G563" i="5"/>
  <c r="I564" i="5"/>
  <c r="F297" i="3"/>
  <c r="H297" i="3" s="1"/>
  <c r="H298" i="3"/>
  <c r="G38" i="4"/>
  <c r="I38" i="4" s="1"/>
  <c r="G227" i="4"/>
  <c r="I227" i="4" s="1"/>
  <c r="G225" i="4"/>
  <c r="I225" i="4" s="1"/>
  <c r="G562" i="5" l="1"/>
  <c r="I563" i="5"/>
  <c r="G523" i="5"/>
  <c r="I523" i="5" s="1"/>
  <c r="G527" i="5"/>
  <c r="I527" i="5" s="1"/>
  <c r="F1040" i="3"/>
  <c r="H1040" i="3" s="1"/>
  <c r="F1037" i="3"/>
  <c r="H1037" i="3" s="1"/>
  <c r="F614" i="3"/>
  <c r="H614" i="3" s="1"/>
  <c r="F611" i="3"/>
  <c r="H611" i="3" s="1"/>
  <c r="F540" i="3"/>
  <c r="H540" i="3" s="1"/>
  <c r="H556" i="15"/>
  <c r="H555" i="15" s="1"/>
  <c r="H554" i="15" s="1"/>
  <c r="G668" i="4"/>
  <c r="G665" i="4"/>
  <c r="G594" i="4"/>
  <c r="G873" i="4"/>
  <c r="G870" i="4"/>
  <c r="G568" i="5" l="1"/>
  <c r="I568" i="5" s="1"/>
  <c r="I562" i="5"/>
  <c r="G664" i="4"/>
  <c r="I664" i="4" s="1"/>
  <c r="I665" i="4"/>
  <c r="G869" i="4"/>
  <c r="I869" i="4" s="1"/>
  <c r="I870" i="4"/>
  <c r="G667" i="4"/>
  <c r="I667" i="4" s="1"/>
  <c r="I668" i="4"/>
  <c r="G872" i="4"/>
  <c r="I872" i="4" s="1"/>
  <c r="I873" i="4"/>
  <c r="G593" i="4"/>
  <c r="I593" i="4" s="1"/>
  <c r="I594" i="4"/>
  <c r="F489" i="14"/>
  <c r="G171" i="16"/>
  <c r="G489" i="14"/>
  <c r="H171" i="16"/>
  <c r="G555" i="15"/>
  <c r="G554" i="15" s="1"/>
  <c r="G605" i="4" l="1"/>
  <c r="I605" i="4" s="1"/>
  <c r="G788" i="4"/>
  <c r="I788" i="4" s="1"/>
  <c r="G685" i="4"/>
  <c r="I685" i="4" s="1"/>
  <c r="G682" i="4"/>
  <c r="I682" i="4" s="1"/>
  <c r="G785" i="4"/>
  <c r="I785" i="4" s="1"/>
  <c r="G602" i="4"/>
  <c r="I602" i="4" s="1"/>
  <c r="G331" i="4"/>
  <c r="I331" i="4" s="1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593" i="14"/>
  <c r="G592" i="14"/>
  <c r="G591" i="14"/>
  <c r="G590" i="14"/>
  <c r="G589" i="14"/>
  <c r="G588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1" i="1" l="1"/>
  <c r="C10" i="1" l="1"/>
  <c r="E10" i="1" s="1"/>
  <c r="E11" i="1"/>
  <c r="G65" i="14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643" i="5"/>
  <c r="G417" i="5"/>
  <c r="G309" i="5"/>
  <c r="G313" i="5"/>
  <c r="G308" i="5" l="1"/>
  <c r="I309" i="5"/>
  <c r="G416" i="5"/>
  <c r="I417" i="5"/>
  <c r="G642" i="5"/>
  <c r="I643" i="5"/>
  <c r="G312" i="5"/>
  <c r="I313" i="5"/>
  <c r="G611" i="15"/>
  <c r="G610" i="15" s="1"/>
  <c r="G606" i="15" s="1"/>
  <c r="H510" i="15"/>
  <c r="F78" i="14"/>
  <c r="F77" i="14" s="1"/>
  <c r="F76" i="14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703" i="3"/>
  <c r="F595" i="3"/>
  <c r="F592" i="3"/>
  <c r="F1008" i="3"/>
  <c r="F888" i="3"/>
  <c r="F69" i="3"/>
  <c r="F95" i="3"/>
  <c r="G311" i="5" l="1"/>
  <c r="I312" i="5"/>
  <c r="G415" i="5"/>
  <c r="I416" i="5"/>
  <c r="G641" i="5"/>
  <c r="I642" i="5"/>
  <c r="G307" i="5"/>
  <c r="I308" i="5"/>
  <c r="F594" i="3"/>
  <c r="H594" i="3" s="1"/>
  <c r="H595" i="3"/>
  <c r="F887" i="3"/>
  <c r="H888" i="3"/>
  <c r="F702" i="3"/>
  <c r="H703" i="3"/>
  <c r="F1007" i="3"/>
  <c r="H1008" i="3"/>
  <c r="F68" i="3"/>
  <c r="H69" i="3"/>
  <c r="F94" i="3"/>
  <c r="H95" i="3"/>
  <c r="F591" i="3"/>
  <c r="H591" i="3" s="1"/>
  <c r="H592" i="3"/>
  <c r="F67" i="3"/>
  <c r="H67" i="3" s="1"/>
  <c r="H68" i="3"/>
  <c r="H39" i="15"/>
  <c r="H38" i="15" s="1"/>
  <c r="G38" i="15"/>
  <c r="H509" i="15"/>
  <c r="H508" i="15" s="1"/>
  <c r="H507" i="15" s="1"/>
  <c r="G78" i="14"/>
  <c r="G77" i="14" s="1"/>
  <c r="G76" i="14" s="1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55" i="4"/>
  <c r="I55" i="4" s="1"/>
  <c r="G757" i="4"/>
  <c r="G572" i="4"/>
  <c r="C160" i="1"/>
  <c r="E160" i="1" s="1"/>
  <c r="G542" i="4"/>
  <c r="G394" i="4"/>
  <c r="G642" i="4"/>
  <c r="G645" i="4"/>
  <c r="D134" i="12"/>
  <c r="C134" i="12"/>
  <c r="D92" i="12"/>
  <c r="D102" i="12"/>
  <c r="C92" i="12"/>
  <c r="C86" i="12"/>
  <c r="C84" i="12"/>
  <c r="C162" i="1"/>
  <c r="E162" i="1" s="1"/>
  <c r="C110" i="1"/>
  <c r="E110" i="1" s="1"/>
  <c r="C108" i="1"/>
  <c r="E108" i="1" s="1"/>
  <c r="C116" i="1"/>
  <c r="E116" i="1" s="1"/>
  <c r="I307" i="5" l="1"/>
  <c r="G306" i="5"/>
  <c r="I415" i="5"/>
  <c r="G414" i="5"/>
  <c r="I641" i="5"/>
  <c r="G640" i="5"/>
  <c r="G638" i="5"/>
  <c r="G314" i="5"/>
  <c r="I314" i="5" s="1"/>
  <c r="I311" i="5"/>
  <c r="F886" i="3"/>
  <c r="H887" i="3"/>
  <c r="F590" i="3"/>
  <c r="H590" i="3" s="1"/>
  <c r="F93" i="3"/>
  <c r="H93" i="3" s="1"/>
  <c r="H94" i="3"/>
  <c r="F1006" i="3"/>
  <c r="H1007" i="3"/>
  <c r="F701" i="3"/>
  <c r="H702" i="3"/>
  <c r="G641" i="4"/>
  <c r="I641" i="4" s="1"/>
  <c r="I642" i="4"/>
  <c r="G571" i="4"/>
  <c r="I572" i="4"/>
  <c r="G393" i="4"/>
  <c r="I394" i="4"/>
  <c r="G756" i="4"/>
  <c r="I756" i="4" s="1"/>
  <c r="I757" i="4"/>
  <c r="G541" i="4"/>
  <c r="I542" i="4"/>
  <c r="G644" i="4"/>
  <c r="I644" i="4" s="1"/>
  <c r="I645" i="4"/>
  <c r="G755" i="4"/>
  <c r="G640" i="4"/>
  <c r="G54" i="4"/>
  <c r="H312" i="16"/>
  <c r="G72" i="4"/>
  <c r="I72" i="4" s="1"/>
  <c r="H57" i="15"/>
  <c r="G57" i="15"/>
  <c r="I815" i="15"/>
  <c r="G479" i="4"/>
  <c r="I404" i="15"/>
  <c r="H264" i="15"/>
  <c r="I414" i="5" l="1"/>
  <c r="G413" i="5"/>
  <c r="G639" i="5"/>
  <c r="I639" i="5" s="1"/>
  <c r="I640" i="5"/>
  <c r="G305" i="5"/>
  <c r="I306" i="5"/>
  <c r="G644" i="5"/>
  <c r="I644" i="5" s="1"/>
  <c r="I638" i="5"/>
  <c r="F700" i="3"/>
  <c r="H700" i="3" s="1"/>
  <c r="H701" i="3"/>
  <c r="F1005" i="3"/>
  <c r="H1006" i="3"/>
  <c r="F885" i="3"/>
  <c r="H885" i="3" s="1"/>
  <c r="H886" i="3"/>
  <c r="I640" i="4"/>
  <c r="I755" i="4"/>
  <c r="G540" i="4"/>
  <c r="I541" i="4"/>
  <c r="G392" i="4"/>
  <c r="I393" i="4"/>
  <c r="I479" i="4"/>
  <c r="I54" i="4"/>
  <c r="G570" i="4"/>
  <c r="I571" i="4"/>
  <c r="H263" i="15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G264" i="15"/>
  <c r="G263" i="15" s="1"/>
  <c r="C99" i="1"/>
  <c r="E99" i="1" s="1"/>
  <c r="G412" i="5" l="1"/>
  <c r="I413" i="5"/>
  <c r="I305" i="5"/>
  <c r="G310" i="5"/>
  <c r="I310" i="5" s="1"/>
  <c r="G304" i="5"/>
  <c r="I304" i="5" s="1"/>
  <c r="D43" i="2"/>
  <c r="F43" i="2" s="1"/>
  <c r="H1005" i="3"/>
  <c r="G569" i="4"/>
  <c r="I570" i="4"/>
  <c r="I540" i="4"/>
  <c r="I392" i="4"/>
  <c r="G1298" i="4"/>
  <c r="G997" i="5"/>
  <c r="I997" i="5" s="1"/>
  <c r="D13" i="12"/>
  <c r="G881" i="14"/>
  <c r="G880" i="14" s="1"/>
  <c r="G879" i="14" s="1"/>
  <c r="F880" i="14"/>
  <c r="F879" i="14" s="1"/>
  <c r="F1130" i="3"/>
  <c r="H1130" i="3" s="1"/>
  <c r="F1133" i="3"/>
  <c r="H1133" i="3" s="1"/>
  <c r="F1138" i="3"/>
  <c r="H1138" i="3" s="1"/>
  <c r="H479" i="15"/>
  <c r="G520" i="4"/>
  <c r="G515" i="4"/>
  <c r="G512" i="4"/>
  <c r="I512" i="4" s="1"/>
  <c r="G508" i="4"/>
  <c r="I508" i="4" s="1"/>
  <c r="G506" i="4"/>
  <c r="I506" i="4" s="1"/>
  <c r="G418" i="5" l="1"/>
  <c r="I418" i="5" s="1"/>
  <c r="I412" i="5"/>
  <c r="G514" i="4"/>
  <c r="I514" i="4" s="1"/>
  <c r="I515" i="4"/>
  <c r="G568" i="4"/>
  <c r="I569" i="4"/>
  <c r="G519" i="4"/>
  <c r="I519" i="4" s="1"/>
  <c r="I520" i="4"/>
  <c r="G505" i="4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126" i="3"/>
  <c r="H1126" i="3" s="1"/>
  <c r="F1124" i="3"/>
  <c r="H1124" i="3" s="1"/>
  <c r="G485" i="15"/>
  <c r="G484" i="15" s="1"/>
  <c r="G490" i="15"/>
  <c r="G489" i="15" s="1"/>
  <c r="G488" i="15" s="1"/>
  <c r="H491" i="15"/>
  <c r="G1011" i="14" s="1"/>
  <c r="G1010" i="14" s="1"/>
  <c r="G1009" i="14" s="1"/>
  <c r="G517" i="4"/>
  <c r="I517" i="4" s="1"/>
  <c r="G518" i="4" l="1"/>
  <c r="I518" i="4" s="1"/>
  <c r="G504" i="4"/>
  <c r="I505" i="4"/>
  <c r="I568" i="4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503" i="4" l="1"/>
  <c r="I504" i="4"/>
  <c r="G1001" i="14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47" i="3"/>
  <c r="F149" i="3"/>
  <c r="H102" i="15"/>
  <c r="H100" i="15"/>
  <c r="G102" i="15"/>
  <c r="G100" i="15"/>
  <c r="G114" i="4"/>
  <c r="I114" i="4" s="1"/>
  <c r="G116" i="4"/>
  <c r="I116" i="4" s="1"/>
  <c r="F146" i="3" l="1"/>
  <c r="H146" i="3" s="1"/>
  <c r="H147" i="3"/>
  <c r="F148" i="3"/>
  <c r="H148" i="3" s="1"/>
  <c r="H149" i="3"/>
  <c r="I503" i="4"/>
  <c r="G502" i="4"/>
  <c r="F145" i="3"/>
  <c r="G113" i="4"/>
  <c r="H474" i="15"/>
  <c r="H473" i="15" s="1"/>
  <c r="H1135" i="15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38" i="3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1048" i="5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94" i="4"/>
  <c r="H450" i="15"/>
  <c r="H449" i="15" s="1"/>
  <c r="G449" i="15"/>
  <c r="G1047" i="5" l="1"/>
  <c r="I1048" i="5"/>
  <c r="F437" i="3"/>
  <c r="H438" i="3"/>
  <c r="F144" i="3"/>
  <c r="H145" i="3"/>
  <c r="G1093" i="4"/>
  <c r="I1094" i="4"/>
  <c r="G501" i="4"/>
  <c r="I502" i="4"/>
  <c r="G112" i="4"/>
  <c r="I113" i="4"/>
  <c r="G552" i="4"/>
  <c r="I552" i="4" s="1"/>
  <c r="G1046" i="5" l="1"/>
  <c r="I1047" i="5"/>
  <c r="F143" i="3"/>
  <c r="H144" i="3"/>
  <c r="F436" i="3"/>
  <c r="H437" i="3"/>
  <c r="G111" i="4"/>
  <c r="I112" i="4"/>
  <c r="G1092" i="4"/>
  <c r="I1093" i="4"/>
  <c r="G1274" i="4"/>
  <c r="I501" i="4"/>
  <c r="I1274" i="4" s="1"/>
  <c r="G149" i="14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G1045" i="5" l="1"/>
  <c r="I1046" i="5"/>
  <c r="F435" i="3"/>
  <c r="H436" i="3"/>
  <c r="F142" i="3"/>
  <c r="H143" i="3"/>
  <c r="G110" i="4"/>
  <c r="I110" i="4" s="1"/>
  <c r="I111" i="4"/>
  <c r="G1091" i="4"/>
  <c r="I1091" i="4" s="1"/>
  <c r="I1092" i="4"/>
  <c r="G1044" i="5" l="1"/>
  <c r="I1045" i="5"/>
  <c r="D15" i="2"/>
  <c r="F15" i="2" s="1"/>
  <c r="H142" i="3"/>
  <c r="F434" i="3"/>
  <c r="H434" i="3" s="1"/>
  <c r="H435" i="3"/>
  <c r="D81" i="12"/>
  <c r="C81" i="12"/>
  <c r="C101" i="1"/>
  <c r="E101" i="1" s="1"/>
  <c r="D38" i="12"/>
  <c r="D36" i="12"/>
  <c r="C38" i="12"/>
  <c r="C36" i="12"/>
  <c r="C38" i="1"/>
  <c r="E38" i="1" s="1"/>
  <c r="C36" i="1"/>
  <c r="E36" i="1" s="1"/>
  <c r="D30" i="12"/>
  <c r="C30" i="12"/>
  <c r="C57" i="1"/>
  <c r="C30" i="1"/>
  <c r="E30" i="1" s="1"/>
  <c r="C25" i="1"/>
  <c r="E25" i="1" s="1"/>
  <c r="G1043" i="5" l="1"/>
  <c r="I1044" i="5"/>
  <c r="C54" i="1"/>
  <c r="E54" i="1" s="1"/>
  <c r="E57" i="1"/>
  <c r="C35" i="12"/>
  <c r="C35" i="1"/>
  <c r="E35" i="1" s="1"/>
  <c r="D35" i="12"/>
  <c r="F270" i="14"/>
  <c r="F269" i="14" s="1"/>
  <c r="F268" i="14" s="1"/>
  <c r="C72" i="1"/>
  <c r="E72" i="1" s="1"/>
  <c r="C74" i="1"/>
  <c r="E74" i="1" s="1"/>
  <c r="C76" i="1"/>
  <c r="E76" i="1" s="1"/>
  <c r="D65" i="12"/>
  <c r="D67" i="12"/>
  <c r="C67" i="12"/>
  <c r="D69" i="12"/>
  <c r="C69" i="12"/>
  <c r="C65" i="12"/>
  <c r="C127" i="12"/>
  <c r="D127" i="12" s="1"/>
  <c r="G178" i="15"/>
  <c r="D143" i="12"/>
  <c r="D142" i="12"/>
  <c r="C130" i="12"/>
  <c r="C126" i="12"/>
  <c r="D126" i="12" s="1"/>
  <c r="C125" i="12"/>
  <c r="D125" i="12" s="1"/>
  <c r="C124" i="12"/>
  <c r="D124" i="12" s="1"/>
  <c r="C123" i="12"/>
  <c r="D123" i="12" s="1"/>
  <c r="D121" i="12"/>
  <c r="C120" i="12"/>
  <c r="D120" i="12" s="1"/>
  <c r="C119" i="12"/>
  <c r="D119" i="12" s="1"/>
  <c r="C118" i="12"/>
  <c r="D118" i="12" s="1"/>
  <c r="C117" i="12"/>
  <c r="D117" i="12" s="1"/>
  <c r="G1042" i="5" l="1"/>
  <c r="I1043" i="5"/>
  <c r="D140" i="12"/>
  <c r="D64" i="12"/>
  <c r="D63" i="12" s="1"/>
  <c r="C64" i="12"/>
  <c r="C63" i="12" s="1"/>
  <c r="C71" i="1"/>
  <c r="G1041" i="5" l="1"/>
  <c r="I1041" i="5" s="1"/>
  <c r="I1042" i="5"/>
  <c r="C70" i="1"/>
  <c r="E70" i="1" s="1"/>
  <c r="E71" i="1"/>
  <c r="E19" i="13"/>
  <c r="E18" i="13"/>
  <c r="D18" i="12"/>
  <c r="D17" i="12" s="1"/>
  <c r="D25" i="12"/>
  <c r="C25" i="12"/>
  <c r="D57" i="12"/>
  <c r="D56" i="12" s="1"/>
  <c r="D147" i="12"/>
  <c r="D146" i="12" s="1"/>
  <c r="D145" i="12" s="1"/>
  <c r="C147" i="12"/>
  <c r="C146" i="12" s="1"/>
  <c r="C145" i="12" s="1"/>
  <c r="D136" i="12"/>
  <c r="C136" i="12"/>
  <c r="D110" i="12"/>
  <c r="C110" i="12"/>
  <c r="D105" i="12"/>
  <c r="C105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9" i="12" l="1"/>
  <c r="C83" i="12" s="1"/>
  <c r="D99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42" i="3"/>
  <c r="G533" i="4"/>
  <c r="I533" i="4" s="1"/>
  <c r="G845" i="4"/>
  <c r="I845" i="4" s="1"/>
  <c r="F341" i="3" l="1"/>
  <c r="H342" i="3"/>
  <c r="C98" i="12"/>
  <c r="D98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48" i="5"/>
  <c r="G275" i="15"/>
  <c r="G274" i="15" s="1"/>
  <c r="G273" i="15" s="1"/>
  <c r="G294" i="4"/>
  <c r="G149" i="5" l="1"/>
  <c r="I149" i="5" s="1"/>
  <c r="I148" i="5"/>
  <c r="F340" i="3"/>
  <c r="H341" i="3"/>
  <c r="G293" i="4"/>
  <c r="I294" i="4"/>
  <c r="F10" i="12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7" i="5"/>
  <c r="G146" i="5" l="1"/>
  <c r="I147" i="5"/>
  <c r="F339" i="3"/>
  <c r="H339" i="3" s="1"/>
  <c r="H340" i="3"/>
  <c r="G292" i="4"/>
  <c r="I292" i="4" s="1"/>
  <c r="I293" i="4"/>
  <c r="H147" i="16"/>
  <c r="H145" i="16"/>
  <c r="H144" i="16" s="1"/>
  <c r="H143" i="16" s="1"/>
  <c r="H142" i="16" s="1"/>
  <c r="H141" i="16" s="1"/>
  <c r="G145" i="5" l="1"/>
  <c r="I146" i="5"/>
  <c r="G833" i="14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29" i="3"/>
  <c r="I145" i="5" l="1"/>
  <c r="G144" i="5"/>
  <c r="F528" i="3"/>
  <c r="H529" i="3"/>
  <c r="G763" i="5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43" i="5" l="1"/>
  <c r="I143" i="5" s="1"/>
  <c r="I144" i="5"/>
  <c r="G762" i="5"/>
  <c r="I763" i="5"/>
  <c r="F527" i="3"/>
  <c r="H528" i="3"/>
  <c r="G1185" i="4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1036" i="5"/>
  <c r="H132" i="15"/>
  <c r="H131" i="15" s="1"/>
  <c r="G132" i="15"/>
  <c r="G131" i="15" s="1"/>
  <c r="G1037" i="5" l="1"/>
  <c r="I1037" i="5" s="1"/>
  <c r="I1036" i="5"/>
  <c r="G761" i="5"/>
  <c r="I762" i="5"/>
  <c r="F526" i="3"/>
  <c r="H527" i="3"/>
  <c r="G1184" i="4"/>
  <c r="I1185" i="4"/>
  <c r="G130" i="15"/>
  <c r="G129" i="15"/>
  <c r="H129" i="15"/>
  <c r="H130" i="15"/>
  <c r="F212" i="3"/>
  <c r="F200" i="3"/>
  <c r="H200" i="3" s="1"/>
  <c r="G919" i="5"/>
  <c r="G922" i="5"/>
  <c r="G855" i="4"/>
  <c r="G920" i="5" l="1"/>
  <c r="I920" i="5" s="1"/>
  <c r="I919" i="5"/>
  <c r="G921" i="5"/>
  <c r="I921" i="5" s="1"/>
  <c r="I922" i="5"/>
  <c r="G760" i="5"/>
  <c r="I761" i="5"/>
  <c r="F211" i="3"/>
  <c r="H211" i="3" s="1"/>
  <c r="H212" i="3"/>
  <c r="F525" i="3"/>
  <c r="H525" i="3" s="1"/>
  <c r="H526" i="3"/>
  <c r="G1183" i="4"/>
  <c r="I1184" i="4"/>
  <c r="G854" i="4"/>
  <c r="I855" i="4"/>
  <c r="G779" i="15"/>
  <c r="G778" i="15" s="1"/>
  <c r="H780" i="15"/>
  <c r="G839" i="16"/>
  <c r="G923" i="5"/>
  <c r="I923" i="5" s="1"/>
  <c r="F994" i="3"/>
  <c r="F41" i="3"/>
  <c r="H41" i="3" s="1"/>
  <c r="F19" i="3"/>
  <c r="H19" i="3" s="1"/>
  <c r="D128" i="12"/>
  <c r="C164" i="1"/>
  <c r="E164" i="1" s="1"/>
  <c r="G759" i="5" l="1"/>
  <c r="I760" i="5"/>
  <c r="F993" i="3"/>
  <c r="H993" i="3" s="1"/>
  <c r="H994" i="3"/>
  <c r="G1182" i="4"/>
  <c r="I1182" i="4" s="1"/>
  <c r="I1183" i="4"/>
  <c r="G853" i="4"/>
  <c r="I854" i="4"/>
  <c r="H839" i="16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758" i="5" l="1"/>
  <c r="I758" i="5" s="1"/>
  <c r="I759" i="5"/>
  <c r="G852" i="4"/>
  <c r="I853" i="4"/>
  <c r="H838" i="16"/>
  <c r="C24" i="1"/>
  <c r="C23" i="1" l="1"/>
  <c r="E24" i="1"/>
  <c r="I852" i="4"/>
  <c r="G851" i="4"/>
  <c r="G92" i="5"/>
  <c r="G91" i="5" l="1"/>
  <c r="I91" i="5" s="1"/>
  <c r="I92" i="5"/>
  <c r="C22" i="1"/>
  <c r="E22" i="1" s="1"/>
  <c r="E23" i="1"/>
  <c r="I851" i="4"/>
  <c r="G850" i="4"/>
  <c r="I850" i="4" s="1"/>
  <c r="F897" i="14"/>
  <c r="F896" i="14" s="1"/>
  <c r="G466" i="15"/>
  <c r="H467" i="15"/>
  <c r="G89" i="16"/>
  <c r="G32" i="17"/>
  <c r="G90" i="5"/>
  <c r="I90" i="5" s="1"/>
  <c r="G897" i="14" l="1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I40" i="6" s="1"/>
  <c r="G34" i="6"/>
  <c r="G494" i="4"/>
  <c r="I494" i="4" s="1"/>
  <c r="G33" i="6" l="1"/>
  <c r="I33" i="6" s="1"/>
  <c r="I34" i="6"/>
  <c r="H88" i="16"/>
  <c r="H90" i="16"/>
  <c r="G31" i="17"/>
  <c r="G30" i="17" s="1"/>
  <c r="G29" i="17" s="1"/>
  <c r="G28" i="17" s="1"/>
  <c r="G27" i="17" s="1"/>
  <c r="G22" i="6" l="1"/>
  <c r="G15" i="6"/>
  <c r="G21" i="6" l="1"/>
  <c r="I22" i="6"/>
  <c r="F187" i="14"/>
  <c r="F38" i="14"/>
  <c r="G38" i="14" s="1"/>
  <c r="G20" i="6" l="1"/>
  <c r="I21" i="6"/>
  <c r="D19" i="13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H726" i="15"/>
  <c r="G690" i="16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H18" i="15"/>
  <c r="G19" i="6" l="1"/>
  <c r="I20" i="6"/>
  <c r="H913" i="15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G574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3" i="17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58" i="5"/>
  <c r="I958" i="5" s="1"/>
  <c r="G942" i="5"/>
  <c r="I942" i="5" s="1"/>
  <c r="G808" i="5"/>
  <c r="I808" i="5" s="1"/>
  <c r="G786" i="5"/>
  <c r="I786" i="5" s="1"/>
  <c r="G18" i="6" l="1"/>
  <c r="I19" i="6"/>
  <c r="F819" i="14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574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3" i="17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941" i="5"/>
  <c r="I941" i="5" s="1"/>
  <c r="G809" i="5"/>
  <c r="I809" i="5" s="1"/>
  <c r="G959" i="5"/>
  <c r="I959" i="5" s="1"/>
  <c r="G957" i="5"/>
  <c r="I957" i="5" s="1"/>
  <c r="G943" i="5"/>
  <c r="I943" i="5" s="1"/>
  <c r="G773" i="5"/>
  <c r="I773" i="5" s="1"/>
  <c r="G779" i="5"/>
  <c r="I779" i="5" s="1"/>
  <c r="G735" i="5"/>
  <c r="I735" i="5" s="1"/>
  <c r="G725" i="5"/>
  <c r="I725" i="5" s="1"/>
  <c r="G718" i="5"/>
  <c r="I718" i="5" s="1"/>
  <c r="G711" i="5"/>
  <c r="I711" i="5" s="1"/>
  <c r="G708" i="5"/>
  <c r="I708" i="5" s="1"/>
  <c r="G705" i="5"/>
  <c r="I705" i="5" s="1"/>
  <c r="G664" i="5"/>
  <c r="I664" i="5" s="1"/>
  <c r="G671" i="5"/>
  <c r="I671" i="5" s="1"/>
  <c r="G678" i="5"/>
  <c r="I678" i="5" s="1"/>
  <c r="G682" i="5"/>
  <c r="I682" i="5" s="1"/>
  <c r="G693" i="5"/>
  <c r="I693" i="5" s="1"/>
  <c r="G697" i="5"/>
  <c r="I697" i="5" s="1"/>
  <c r="G252" i="5"/>
  <c r="I252" i="5" s="1"/>
  <c r="G15" i="5"/>
  <c r="F971" i="3"/>
  <c r="H971" i="3" s="1"/>
  <c r="F1109" i="3"/>
  <c r="H1109" i="3" s="1"/>
  <c r="F1094" i="3"/>
  <c r="H1094" i="3" s="1"/>
  <c r="G17" i="6" l="1"/>
  <c r="I17" i="6" s="1"/>
  <c r="I18" i="6"/>
  <c r="G819" i="14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940" i="5"/>
  <c r="I940" i="5" s="1"/>
  <c r="G774" i="5"/>
  <c r="I774" i="5" s="1"/>
  <c r="G956" i="5"/>
  <c r="I956" i="5" s="1"/>
  <c r="G14" i="5"/>
  <c r="F1132" i="3"/>
  <c r="H1132" i="3" s="1"/>
  <c r="G778" i="5"/>
  <c r="I778" i="5" s="1"/>
  <c r="G780" i="5"/>
  <c r="I780" i="5" s="1"/>
  <c r="G734" i="5"/>
  <c r="I734" i="5" s="1"/>
  <c r="G736" i="5"/>
  <c r="I736" i="5" s="1"/>
  <c r="G724" i="5"/>
  <c r="I724" i="5" s="1"/>
  <c r="G726" i="5"/>
  <c r="I726" i="5" s="1"/>
  <c r="G717" i="5"/>
  <c r="I717" i="5" s="1"/>
  <c r="G719" i="5"/>
  <c r="I719" i="5" s="1"/>
  <c r="G707" i="5"/>
  <c r="I707" i="5" s="1"/>
  <c r="G709" i="5"/>
  <c r="I709" i="5" s="1"/>
  <c r="G704" i="5"/>
  <c r="I704" i="5" s="1"/>
  <c r="G706" i="5"/>
  <c r="I706" i="5" s="1"/>
  <c r="G710" i="5"/>
  <c r="I710" i="5" s="1"/>
  <c r="G712" i="5"/>
  <c r="I712" i="5" s="1"/>
  <c r="G696" i="5"/>
  <c r="I696" i="5" s="1"/>
  <c r="G698" i="5"/>
  <c r="I698" i="5" s="1"/>
  <c r="G692" i="5"/>
  <c r="I692" i="5" s="1"/>
  <c r="G694" i="5"/>
  <c r="I694" i="5" s="1"/>
  <c r="G681" i="5"/>
  <c r="I681" i="5" s="1"/>
  <c r="G683" i="5"/>
  <c r="I683" i="5" s="1"/>
  <c r="G677" i="5"/>
  <c r="I677" i="5" s="1"/>
  <c r="G679" i="5"/>
  <c r="I679" i="5" s="1"/>
  <c r="G670" i="5"/>
  <c r="I670" i="5" s="1"/>
  <c r="G672" i="5"/>
  <c r="I672" i="5" s="1"/>
  <c r="G663" i="5"/>
  <c r="I663" i="5" s="1"/>
  <c r="G665" i="5"/>
  <c r="I665" i="5" s="1"/>
  <c r="G251" i="5"/>
  <c r="I251" i="5" s="1"/>
  <c r="G253" i="5"/>
  <c r="I253" i="5" s="1"/>
  <c r="G16" i="5"/>
  <c r="F1054" i="3"/>
  <c r="F1050" i="3"/>
  <c r="H1050" i="3" s="1"/>
  <c r="F1047" i="3"/>
  <c r="F1044" i="3"/>
  <c r="H1044" i="3" s="1"/>
  <c r="F1034" i="3"/>
  <c r="H1034" i="3" s="1"/>
  <c r="F1022" i="3"/>
  <c r="H1022" i="3" s="1"/>
  <c r="F1004" i="3"/>
  <c r="F999" i="3"/>
  <c r="H999" i="3" s="1"/>
  <c r="F983" i="3"/>
  <c r="H983" i="3" s="1"/>
  <c r="F970" i="3"/>
  <c r="H970" i="3" s="1"/>
  <c r="F958" i="3"/>
  <c r="H958" i="3" s="1"/>
  <c r="F955" i="3"/>
  <c r="H955" i="3" s="1"/>
  <c r="F953" i="3"/>
  <c r="H953" i="3" s="1"/>
  <c r="F951" i="3"/>
  <c r="H951" i="3" s="1"/>
  <c r="F943" i="3"/>
  <c r="H943" i="3" s="1"/>
  <c r="F940" i="3"/>
  <c r="H940" i="3" s="1"/>
  <c r="F938" i="3"/>
  <c r="H938" i="3" s="1"/>
  <c r="F932" i="3"/>
  <c r="H932" i="3" s="1"/>
  <c r="F927" i="3"/>
  <c r="H927" i="3" s="1"/>
  <c r="F922" i="3"/>
  <c r="H922" i="3" s="1"/>
  <c r="F919" i="3"/>
  <c r="H919" i="3" s="1"/>
  <c r="F912" i="3"/>
  <c r="H912" i="3" s="1"/>
  <c r="F909" i="3"/>
  <c r="H909" i="3" s="1"/>
  <c r="F905" i="3"/>
  <c r="H905" i="3" s="1"/>
  <c r="F901" i="3"/>
  <c r="H901" i="3" s="1"/>
  <c r="F897" i="3"/>
  <c r="H897" i="3" s="1"/>
  <c r="F895" i="3"/>
  <c r="H895" i="3" s="1"/>
  <c r="F884" i="3"/>
  <c r="H884" i="3" s="1"/>
  <c r="F877" i="3"/>
  <c r="H877" i="3" s="1"/>
  <c r="F870" i="3"/>
  <c r="H870" i="3" s="1"/>
  <c r="F868" i="3"/>
  <c r="H868" i="3" s="1"/>
  <c r="F864" i="3"/>
  <c r="H864" i="3" s="1"/>
  <c r="F862" i="3"/>
  <c r="H862" i="3" s="1"/>
  <c r="F813" i="3"/>
  <c r="H813" i="3" s="1"/>
  <c r="F809" i="3"/>
  <c r="H809" i="3" s="1"/>
  <c r="F803" i="3"/>
  <c r="F800" i="3"/>
  <c r="H800" i="3" s="1"/>
  <c r="F793" i="3"/>
  <c r="H793" i="3" s="1"/>
  <c r="F790" i="3"/>
  <c r="H790" i="3" s="1"/>
  <c r="F772" i="3"/>
  <c r="H772" i="3" s="1"/>
  <c r="F766" i="3"/>
  <c r="H766" i="3" s="1"/>
  <c r="F762" i="3"/>
  <c r="H762" i="3" s="1"/>
  <c r="G320" i="4"/>
  <c r="I320" i="4" s="1"/>
  <c r="F718" i="14" l="1"/>
  <c r="G718" i="14" s="1"/>
  <c r="H803" i="3"/>
  <c r="F1003" i="3"/>
  <c r="H1003" i="3" s="1"/>
  <c r="H1004" i="3"/>
  <c r="F944" i="14"/>
  <c r="H1047" i="3"/>
  <c r="F951" i="14"/>
  <c r="H1054" i="3"/>
  <c r="H603" i="16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319" i="4"/>
  <c r="I319" i="4" s="1"/>
  <c r="G691" i="5"/>
  <c r="I691" i="5" s="1"/>
  <c r="G662" i="5"/>
  <c r="I662" i="5" s="1"/>
  <c r="G676" i="5"/>
  <c r="I676" i="5" s="1"/>
  <c r="G716" i="5"/>
  <c r="I716" i="5" s="1"/>
  <c r="G733" i="5"/>
  <c r="I733" i="5" s="1"/>
  <c r="G250" i="5"/>
  <c r="I250" i="5" s="1"/>
  <c r="G669" i="5"/>
  <c r="I669" i="5" s="1"/>
  <c r="G680" i="5"/>
  <c r="I680" i="5" s="1"/>
  <c r="G695" i="5"/>
  <c r="I695" i="5" s="1"/>
  <c r="G13" i="5"/>
  <c r="F771" i="3"/>
  <c r="H771" i="3" s="1"/>
  <c r="G636" i="5"/>
  <c r="F937" i="3"/>
  <c r="H937" i="3" s="1"/>
  <c r="F982" i="3"/>
  <c r="H982" i="3" s="1"/>
  <c r="G611" i="5"/>
  <c r="I611" i="5" s="1"/>
  <c r="F780" i="14"/>
  <c r="F908" i="3"/>
  <c r="H908" i="3" s="1"/>
  <c r="F939" i="3"/>
  <c r="F846" i="14"/>
  <c r="F761" i="3"/>
  <c r="H761" i="3" s="1"/>
  <c r="F792" i="3"/>
  <c r="H792" i="3" s="1"/>
  <c r="G614" i="5"/>
  <c r="I614" i="5" s="1"/>
  <c r="F926" i="3"/>
  <c r="H926" i="3" s="1"/>
  <c r="F1131" i="3"/>
  <c r="H1131" i="3" s="1"/>
  <c r="F765" i="3"/>
  <c r="H765" i="3" s="1"/>
  <c r="F861" i="3"/>
  <c r="H861" i="3" s="1"/>
  <c r="F900" i="3"/>
  <c r="H900" i="3" s="1"/>
  <c r="F918" i="3"/>
  <c r="H918" i="3" s="1"/>
  <c r="F931" i="3"/>
  <c r="H931" i="3" s="1"/>
  <c r="F969" i="3"/>
  <c r="H969" i="3" s="1"/>
  <c r="F1021" i="3"/>
  <c r="H1021" i="3" s="1"/>
  <c r="G777" i="5"/>
  <c r="I777" i="5" s="1"/>
  <c r="G703" i="5"/>
  <c r="I703" i="5" s="1"/>
  <c r="F876" i="3"/>
  <c r="H876" i="3" s="1"/>
  <c r="G625" i="5"/>
  <c r="I625" i="5" s="1"/>
  <c r="F799" i="3"/>
  <c r="H799" i="3" s="1"/>
  <c r="G36" i="5"/>
  <c r="I36" i="5" s="1"/>
  <c r="F802" i="3"/>
  <c r="H802" i="3" s="1"/>
  <c r="G40" i="5"/>
  <c r="I40" i="5" s="1"/>
  <c r="F808" i="3"/>
  <c r="H808" i="3" s="1"/>
  <c r="G50" i="5"/>
  <c r="I50" i="5" s="1"/>
  <c r="F812" i="3"/>
  <c r="H812" i="3" s="1"/>
  <c r="G57" i="5"/>
  <c r="I57" i="5" s="1"/>
  <c r="G637" i="5" l="1"/>
  <c r="I637" i="5" s="1"/>
  <c r="I636" i="5"/>
  <c r="F845" i="14"/>
  <c r="H939" i="3"/>
  <c r="G686" i="5"/>
  <c r="I686" i="5" s="1"/>
  <c r="G715" i="5"/>
  <c r="I715" i="5" s="1"/>
  <c r="G675" i="5"/>
  <c r="G713" i="5"/>
  <c r="I713" i="5" s="1"/>
  <c r="G673" i="5"/>
  <c r="I673" i="5" s="1"/>
  <c r="G612" i="5"/>
  <c r="I612" i="5" s="1"/>
  <c r="G318" i="4"/>
  <c r="I318" i="4" s="1"/>
  <c r="G51" i="5"/>
  <c r="I51" i="5" s="1"/>
  <c r="G702" i="5"/>
  <c r="I702" i="5" s="1"/>
  <c r="G776" i="5"/>
  <c r="I776" i="5" s="1"/>
  <c r="G668" i="5"/>
  <c r="I668" i="5" s="1"/>
  <c r="G732" i="5"/>
  <c r="I732" i="5" s="1"/>
  <c r="G610" i="5"/>
  <c r="I610" i="5" s="1"/>
  <c r="G661" i="5"/>
  <c r="I661" i="5" s="1"/>
  <c r="G615" i="5"/>
  <c r="I615" i="5" s="1"/>
  <c r="G659" i="5"/>
  <c r="I659" i="5" s="1"/>
  <c r="G635" i="5"/>
  <c r="I635" i="5" s="1"/>
  <c r="G10" i="5"/>
  <c r="G12" i="5"/>
  <c r="G613" i="5"/>
  <c r="I613" i="5" s="1"/>
  <c r="G666" i="5"/>
  <c r="I666" i="5" s="1"/>
  <c r="G730" i="5"/>
  <c r="I730" i="5" s="1"/>
  <c r="F811" i="3"/>
  <c r="H811" i="3" s="1"/>
  <c r="F875" i="3"/>
  <c r="H875" i="3" s="1"/>
  <c r="F1020" i="3"/>
  <c r="H1020" i="3" s="1"/>
  <c r="F925" i="3"/>
  <c r="H925" i="3" s="1"/>
  <c r="F791" i="3"/>
  <c r="H791" i="3" s="1"/>
  <c r="F907" i="3"/>
  <c r="H907" i="3" s="1"/>
  <c r="F981" i="3"/>
  <c r="H981" i="3" s="1"/>
  <c r="F798" i="3"/>
  <c r="H798" i="3" s="1"/>
  <c r="F801" i="3"/>
  <c r="F717" i="14"/>
  <c r="G717" i="14" s="1"/>
  <c r="F930" i="3"/>
  <c r="H930" i="3" s="1"/>
  <c r="F968" i="3"/>
  <c r="H968" i="3" s="1"/>
  <c r="F760" i="3"/>
  <c r="H760" i="3" s="1"/>
  <c r="F770" i="3"/>
  <c r="H770" i="3" s="1"/>
  <c r="G624" i="5"/>
  <c r="I624" i="5" s="1"/>
  <c r="G626" i="5"/>
  <c r="I626" i="5" s="1"/>
  <c r="G56" i="5"/>
  <c r="I56" i="5" s="1"/>
  <c r="G58" i="5"/>
  <c r="I58" i="5" s="1"/>
  <c r="G39" i="5"/>
  <c r="I39" i="5" s="1"/>
  <c r="G41" i="5"/>
  <c r="I41" i="5" s="1"/>
  <c r="G35" i="5"/>
  <c r="I35" i="5" s="1"/>
  <c r="G37" i="5"/>
  <c r="I37" i="5" s="1"/>
  <c r="G674" i="5" l="1"/>
  <c r="I674" i="5" s="1"/>
  <c r="I675" i="5"/>
  <c r="F716" i="14"/>
  <c r="G716" i="14" s="1"/>
  <c r="G712" i="14" s="1"/>
  <c r="H801" i="3"/>
  <c r="H299" i="15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920" i="14"/>
  <c r="G919" i="14" s="1"/>
  <c r="F920" i="14"/>
  <c r="F919" i="14" s="1"/>
  <c r="G34" i="5"/>
  <c r="I34" i="5" s="1"/>
  <c r="G623" i="5"/>
  <c r="I623" i="5" s="1"/>
  <c r="G731" i="5"/>
  <c r="I731" i="5" s="1"/>
  <c r="G634" i="5"/>
  <c r="I634" i="5" s="1"/>
  <c r="G660" i="5"/>
  <c r="I660" i="5" s="1"/>
  <c r="G38" i="5"/>
  <c r="I38" i="5" s="1"/>
  <c r="G775" i="5"/>
  <c r="I775" i="5" s="1"/>
  <c r="G685" i="5"/>
  <c r="I685" i="5" s="1"/>
  <c r="G609" i="5"/>
  <c r="G667" i="5"/>
  <c r="I667" i="5" s="1"/>
  <c r="F769" i="3"/>
  <c r="H769" i="3" s="1"/>
  <c r="F967" i="3"/>
  <c r="H967" i="3" s="1"/>
  <c r="F810" i="3"/>
  <c r="H810" i="3" s="1"/>
  <c r="F797" i="3"/>
  <c r="H797" i="3" s="1"/>
  <c r="F759" i="3"/>
  <c r="H759" i="3" s="1"/>
  <c r="F929" i="3"/>
  <c r="H929" i="3" s="1"/>
  <c r="F924" i="3"/>
  <c r="H924" i="3" s="1"/>
  <c r="F758" i="3"/>
  <c r="H758" i="3" s="1"/>
  <c r="F756" i="3"/>
  <c r="H756" i="3" s="1"/>
  <c r="F754" i="3"/>
  <c r="H754" i="3" s="1"/>
  <c r="F789" i="3"/>
  <c r="H789" i="3" s="1"/>
  <c r="F833" i="3"/>
  <c r="H833" i="3" s="1"/>
  <c r="F852" i="3"/>
  <c r="H852" i="3" s="1"/>
  <c r="F741" i="3"/>
  <c r="H741" i="3" s="1"/>
  <c r="F730" i="3"/>
  <c r="H730" i="3" s="1"/>
  <c r="F675" i="3"/>
  <c r="H675" i="3" s="1"/>
  <c r="F716" i="3"/>
  <c r="H716" i="3" s="1"/>
  <c r="F668" i="3"/>
  <c r="H668" i="3" s="1"/>
  <c r="F711" i="3"/>
  <c r="H711" i="3" s="1"/>
  <c r="F647" i="3"/>
  <c r="H647" i="3" s="1"/>
  <c r="F633" i="3"/>
  <c r="H633" i="3" s="1"/>
  <c r="F627" i="3"/>
  <c r="H627" i="3" s="1"/>
  <c r="F624" i="3"/>
  <c r="H624" i="3" s="1"/>
  <c r="F608" i="3"/>
  <c r="H608" i="3" s="1"/>
  <c r="F589" i="3"/>
  <c r="F601" i="3"/>
  <c r="H601" i="3" s="1"/>
  <c r="F584" i="3"/>
  <c r="H584" i="3" s="1"/>
  <c r="F581" i="3"/>
  <c r="H581" i="3" s="1"/>
  <c r="F571" i="3"/>
  <c r="F567" i="3"/>
  <c r="H567" i="3" s="1"/>
  <c r="F564" i="3"/>
  <c r="F553" i="3"/>
  <c r="H553" i="3" s="1"/>
  <c r="F547" i="3"/>
  <c r="H547" i="3" s="1"/>
  <c r="F537" i="3"/>
  <c r="H537" i="3" s="1"/>
  <c r="F524" i="3"/>
  <c r="H524" i="3" s="1"/>
  <c r="F519" i="3"/>
  <c r="H519" i="3" s="1"/>
  <c r="F515" i="3"/>
  <c r="H515" i="3" s="1"/>
  <c r="F495" i="3"/>
  <c r="H495" i="3" s="1"/>
  <c r="F497" i="3"/>
  <c r="H497" i="3" s="1"/>
  <c r="F502" i="3"/>
  <c r="H502" i="3" s="1"/>
  <c r="F712" i="14" l="1"/>
  <c r="G606" i="5"/>
  <c r="I606" i="5" s="1"/>
  <c r="I609" i="5"/>
  <c r="G513" i="14"/>
  <c r="H564" i="3"/>
  <c r="G520" i="14"/>
  <c r="H571" i="3"/>
  <c r="F545" i="14"/>
  <c r="G545" i="14" s="1"/>
  <c r="H589" i="3"/>
  <c r="G629" i="5"/>
  <c r="I629" i="5" s="1"/>
  <c r="G627" i="5"/>
  <c r="I627" i="5" s="1"/>
  <c r="G835" i="14"/>
  <c r="G834" i="14" s="1"/>
  <c r="F835" i="14"/>
  <c r="F834" i="14" s="1"/>
  <c r="G684" i="14"/>
  <c r="F684" i="14"/>
  <c r="G725" i="14"/>
  <c r="F725" i="14"/>
  <c r="G674" i="14"/>
  <c r="F674" i="14"/>
  <c r="E42" i="13"/>
  <c r="G684" i="5"/>
  <c r="I684" i="5" s="1"/>
  <c r="G33" i="5"/>
  <c r="I33" i="5" s="1"/>
  <c r="G620" i="5"/>
  <c r="I620" i="5" s="1"/>
  <c r="G608" i="5"/>
  <c r="I608" i="5" s="1"/>
  <c r="F729" i="3"/>
  <c r="H729" i="3" s="1"/>
  <c r="F788" i="3"/>
  <c r="H788" i="3" s="1"/>
  <c r="F923" i="3"/>
  <c r="H923" i="3" s="1"/>
  <c r="F523" i="3"/>
  <c r="H523" i="3" s="1"/>
  <c r="G178" i="5"/>
  <c r="I178" i="5" s="1"/>
  <c r="G231" i="5"/>
  <c r="I231" i="5" s="1"/>
  <c r="F740" i="3"/>
  <c r="H740" i="3" s="1"/>
  <c r="F753" i="3"/>
  <c r="H753" i="3" s="1"/>
  <c r="F966" i="3"/>
  <c r="H966" i="3" s="1"/>
  <c r="G302" i="5"/>
  <c r="I302" i="5" s="1"/>
  <c r="G182" i="5"/>
  <c r="G239" i="5"/>
  <c r="F851" i="3"/>
  <c r="H851" i="3" s="1"/>
  <c r="F755" i="3"/>
  <c r="H755" i="3" s="1"/>
  <c r="F501" i="3"/>
  <c r="H501" i="3" s="1"/>
  <c r="G202" i="5"/>
  <c r="I202" i="5" s="1"/>
  <c r="G227" i="5"/>
  <c r="G210" i="5"/>
  <c r="F514" i="3"/>
  <c r="F464" i="14"/>
  <c r="G464" i="14" s="1"/>
  <c r="G173" i="5"/>
  <c r="I173" i="5" s="1"/>
  <c r="F600" i="3"/>
  <c r="H600" i="3" s="1"/>
  <c r="G186" i="5"/>
  <c r="I186" i="5" s="1"/>
  <c r="F646" i="3"/>
  <c r="H646" i="3" s="1"/>
  <c r="G373" i="5"/>
  <c r="I373" i="5" s="1"/>
  <c r="F832" i="3"/>
  <c r="H832" i="3" s="1"/>
  <c r="F757" i="3"/>
  <c r="H757" i="3" s="1"/>
  <c r="F539" i="3"/>
  <c r="H539" i="3" s="1"/>
  <c r="F536" i="3"/>
  <c r="H536" i="3" s="1"/>
  <c r="G169" i="5"/>
  <c r="I169" i="5" s="1"/>
  <c r="F481" i="3"/>
  <c r="F484" i="3"/>
  <c r="H484" i="3" s="1"/>
  <c r="F444" i="3"/>
  <c r="H444" i="3" s="1"/>
  <c r="G1100" i="4"/>
  <c r="I1100" i="4" s="1"/>
  <c r="F461" i="3"/>
  <c r="H461" i="3" s="1"/>
  <c r="F457" i="3"/>
  <c r="H457" i="3" s="1"/>
  <c r="G183" i="5" l="1"/>
  <c r="I183" i="5" s="1"/>
  <c r="I182" i="5"/>
  <c r="G209" i="5"/>
  <c r="I209" i="5" s="1"/>
  <c r="I210" i="5"/>
  <c r="G238" i="5"/>
  <c r="I238" i="5" s="1"/>
  <c r="I239" i="5"/>
  <c r="G226" i="5"/>
  <c r="I226" i="5" s="1"/>
  <c r="I227" i="5"/>
  <c r="F435" i="14"/>
  <c r="H481" i="3"/>
  <c r="F463" i="14"/>
  <c r="G463" i="14" s="1"/>
  <c r="H514" i="3"/>
  <c r="G435" i="14"/>
  <c r="F434" i="14"/>
  <c r="F433" i="14" s="1"/>
  <c r="H913" i="16"/>
  <c r="H912" i="16" s="1"/>
  <c r="H911" i="16" s="1"/>
  <c r="H910" i="16" s="1"/>
  <c r="H915" i="16" s="1"/>
  <c r="H105" i="16"/>
  <c r="G1099" i="4"/>
  <c r="G232" i="5"/>
  <c r="I232" i="5" s="1"/>
  <c r="G301" i="5"/>
  <c r="I301" i="5" s="1"/>
  <c r="G237" i="5"/>
  <c r="I237" i="5" s="1"/>
  <c r="G185" i="5"/>
  <c r="I185" i="5" s="1"/>
  <c r="G230" i="5"/>
  <c r="I230" i="5" s="1"/>
  <c r="F752" i="3"/>
  <c r="G303" i="5"/>
  <c r="I303" i="5" s="1"/>
  <c r="G607" i="5"/>
  <c r="I607" i="5" s="1"/>
  <c r="G622" i="5"/>
  <c r="I622" i="5" s="1"/>
  <c r="G170" i="5"/>
  <c r="I170" i="5" s="1"/>
  <c r="G208" i="5"/>
  <c r="I208" i="5" s="1"/>
  <c r="G374" i="5"/>
  <c r="I374" i="5" s="1"/>
  <c r="G174" i="5"/>
  <c r="I174" i="5" s="1"/>
  <c r="G211" i="5"/>
  <c r="I211" i="5" s="1"/>
  <c r="G240" i="5"/>
  <c r="I240" i="5" s="1"/>
  <c r="G203" i="5"/>
  <c r="I203" i="5" s="1"/>
  <c r="G172" i="5"/>
  <c r="I172" i="5" s="1"/>
  <c r="G201" i="5"/>
  <c r="I201" i="5" s="1"/>
  <c r="G225" i="5"/>
  <c r="I225" i="5" s="1"/>
  <c r="G187" i="5"/>
  <c r="I187" i="5" s="1"/>
  <c r="G228" i="5"/>
  <c r="I228" i="5" s="1"/>
  <c r="G181" i="5"/>
  <c r="I181" i="5" s="1"/>
  <c r="G179" i="5"/>
  <c r="I179" i="5" s="1"/>
  <c r="G801" i="5"/>
  <c r="I801" i="5" s="1"/>
  <c r="F411" i="14"/>
  <c r="F535" i="3"/>
  <c r="H535" i="3" s="1"/>
  <c r="F831" i="3"/>
  <c r="H831" i="3" s="1"/>
  <c r="F500" i="3"/>
  <c r="H500" i="3" s="1"/>
  <c r="F850" i="3"/>
  <c r="H850" i="3" s="1"/>
  <c r="D41" i="2"/>
  <c r="F41" i="2" s="1"/>
  <c r="F739" i="3"/>
  <c r="G658" i="14"/>
  <c r="G177" i="5"/>
  <c r="I177" i="5" s="1"/>
  <c r="F538" i="3"/>
  <c r="H538" i="3" s="1"/>
  <c r="F522" i="3"/>
  <c r="H522" i="3" s="1"/>
  <c r="F787" i="3"/>
  <c r="H787" i="3" s="1"/>
  <c r="F443" i="3"/>
  <c r="F480" i="3"/>
  <c r="H480" i="3" s="1"/>
  <c r="G838" i="5"/>
  <c r="I838" i="5" s="1"/>
  <c r="F483" i="3"/>
  <c r="H483" i="3" s="1"/>
  <c r="G842" i="5"/>
  <c r="I842" i="5" s="1"/>
  <c r="F433" i="3"/>
  <c r="F429" i="3"/>
  <c r="F425" i="3"/>
  <c r="F404" i="3"/>
  <c r="F399" i="3"/>
  <c r="H399" i="3" s="1"/>
  <c r="F401" i="3"/>
  <c r="H401" i="3" s="1"/>
  <c r="F396" i="3"/>
  <c r="H396" i="3" s="1"/>
  <c r="F391" i="3"/>
  <c r="H391" i="3" s="1"/>
  <c r="F393" i="3"/>
  <c r="H393" i="3" s="1"/>
  <c r="F382" i="3"/>
  <c r="H382" i="3" s="1"/>
  <c r="F384" i="3"/>
  <c r="F378" i="3"/>
  <c r="H378" i="3" s="1"/>
  <c r="F374" i="3"/>
  <c r="H374" i="3" s="1"/>
  <c r="F294" i="3"/>
  <c r="H294" i="3" s="1"/>
  <c r="F300" i="3"/>
  <c r="H300" i="3" s="1"/>
  <c r="F335" i="3"/>
  <c r="F338" i="3"/>
  <c r="F328" i="3"/>
  <c r="H328" i="3" s="1"/>
  <c r="F331" i="3"/>
  <c r="H331" i="3" s="1"/>
  <c r="F324" i="3"/>
  <c r="F321" i="3"/>
  <c r="F347" i="3"/>
  <c r="F350" i="3"/>
  <c r="F275" i="3"/>
  <c r="H275" i="3" s="1"/>
  <c r="F282" i="3"/>
  <c r="H282" i="3" s="1"/>
  <c r="F268" i="3"/>
  <c r="H268" i="3" s="1"/>
  <c r="F256" i="3"/>
  <c r="H256" i="3" s="1"/>
  <c r="F249" i="3"/>
  <c r="H249" i="3" s="1"/>
  <c r="F59" i="3"/>
  <c r="H59" i="3" s="1"/>
  <c r="F218" i="3"/>
  <c r="H218" i="3" s="1"/>
  <c r="F209" i="3"/>
  <c r="H209" i="3" s="1"/>
  <c r="F214" i="3"/>
  <c r="H214" i="3" s="1"/>
  <c r="F175" i="14"/>
  <c r="F174" i="3"/>
  <c r="H174" i="3" s="1"/>
  <c r="G312" i="14" l="1"/>
  <c r="H347" i="3"/>
  <c r="F385" i="14"/>
  <c r="G385" i="14" s="1"/>
  <c r="H429" i="3"/>
  <c r="F738" i="3"/>
  <c r="H738" i="3" s="1"/>
  <c r="H739" i="3"/>
  <c r="F286" i="14"/>
  <c r="G286" i="14" s="1"/>
  <c r="H321" i="3"/>
  <c r="F303" i="14"/>
  <c r="G303" i="14" s="1"/>
  <c r="H338" i="3"/>
  <c r="F389" i="14"/>
  <c r="G389" i="14" s="1"/>
  <c r="H433" i="3"/>
  <c r="F751" i="3"/>
  <c r="H751" i="3" s="1"/>
  <c r="H752" i="3"/>
  <c r="F289" i="14"/>
  <c r="G289" i="14" s="1"/>
  <c r="H324" i="3"/>
  <c r="F300" i="14"/>
  <c r="G300" i="14" s="1"/>
  <c r="H335" i="3"/>
  <c r="F360" i="14"/>
  <c r="G360" i="14" s="1"/>
  <c r="H404" i="3"/>
  <c r="F442" i="3"/>
  <c r="H442" i="3" s="1"/>
  <c r="H443" i="3"/>
  <c r="F315" i="14"/>
  <c r="G315" i="14" s="1"/>
  <c r="H350" i="3"/>
  <c r="F343" i="14"/>
  <c r="G343" i="14" s="1"/>
  <c r="H384" i="3"/>
  <c r="F381" i="14"/>
  <c r="G381" i="14" s="1"/>
  <c r="H425" i="3"/>
  <c r="G1098" i="4"/>
  <c r="I1098" i="4" s="1"/>
  <c r="I1099" i="4"/>
  <c r="G338" i="14"/>
  <c r="F377" i="3"/>
  <c r="H377" i="3" s="1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217" i="3"/>
  <c r="H217" i="3" s="1"/>
  <c r="G800" i="5"/>
  <c r="I800" i="5" s="1"/>
  <c r="G300" i="5"/>
  <c r="I300" i="5" s="1"/>
  <c r="G802" i="5"/>
  <c r="I802" i="5" s="1"/>
  <c r="G171" i="5"/>
  <c r="I171" i="5" s="1"/>
  <c r="G180" i="5"/>
  <c r="I180" i="5" s="1"/>
  <c r="G621" i="5"/>
  <c r="I621" i="5" s="1"/>
  <c r="G184" i="5"/>
  <c r="I184" i="5" s="1"/>
  <c r="G229" i="5"/>
  <c r="I229" i="5" s="1"/>
  <c r="G176" i="5"/>
  <c r="I176" i="5" s="1"/>
  <c r="G200" i="5"/>
  <c r="I200" i="5" s="1"/>
  <c r="F248" i="3"/>
  <c r="H248" i="3" s="1"/>
  <c r="F221" i="14"/>
  <c r="G221" i="14" s="1"/>
  <c r="F173" i="3"/>
  <c r="H173" i="3" s="1"/>
  <c r="F146" i="14"/>
  <c r="G146" i="14" s="1"/>
  <c r="F482" i="3"/>
  <c r="H482" i="3" s="1"/>
  <c r="F267" i="3"/>
  <c r="H267" i="3" s="1"/>
  <c r="F293" i="3"/>
  <c r="H293" i="3" s="1"/>
  <c r="F266" i="14"/>
  <c r="G266" i="14" s="1"/>
  <c r="F400" i="3"/>
  <c r="F357" i="14"/>
  <c r="G357" i="14" s="1"/>
  <c r="F786" i="3"/>
  <c r="H786" i="3" s="1"/>
  <c r="F208" i="3"/>
  <c r="H208" i="3" s="1"/>
  <c r="F274" i="3"/>
  <c r="H274" i="3" s="1"/>
  <c r="F390" i="3"/>
  <c r="G347" i="14"/>
  <c r="F479" i="3"/>
  <c r="H479" i="3" s="1"/>
  <c r="G434" i="14"/>
  <c r="F299" i="3"/>
  <c r="H299" i="3" s="1"/>
  <c r="F395" i="3"/>
  <c r="H395" i="3" s="1"/>
  <c r="F352" i="14"/>
  <c r="G352" i="14" s="1"/>
  <c r="F213" i="3"/>
  <c r="F186" i="14"/>
  <c r="F373" i="3"/>
  <c r="H373" i="3" s="1"/>
  <c r="G336" i="14"/>
  <c r="F392" i="3"/>
  <c r="G349" i="14"/>
  <c r="F398" i="3"/>
  <c r="F355" i="14"/>
  <c r="G355" i="14" s="1"/>
  <c r="F534" i="3"/>
  <c r="H534" i="3" s="1"/>
  <c r="F424" i="3"/>
  <c r="H424" i="3" s="1"/>
  <c r="G897" i="5"/>
  <c r="I897" i="5" s="1"/>
  <c r="F428" i="3"/>
  <c r="H428" i="3" s="1"/>
  <c r="G904" i="5"/>
  <c r="I904" i="5" s="1"/>
  <c r="G841" i="5"/>
  <c r="I841" i="5" s="1"/>
  <c r="G843" i="5"/>
  <c r="I843" i="5" s="1"/>
  <c r="F281" i="3"/>
  <c r="H281" i="3" s="1"/>
  <c r="G861" i="5"/>
  <c r="I861" i="5" s="1"/>
  <c r="F432" i="3"/>
  <c r="H432" i="3" s="1"/>
  <c r="G911" i="5"/>
  <c r="I911" i="5" s="1"/>
  <c r="G839" i="5"/>
  <c r="I839" i="5" s="1"/>
  <c r="G837" i="5"/>
  <c r="I837" i="5" s="1"/>
  <c r="F202" i="3"/>
  <c r="H202" i="3" s="1"/>
  <c r="G926" i="5"/>
  <c r="I926" i="5" s="1"/>
  <c r="F241" i="3"/>
  <c r="F349" i="3"/>
  <c r="H349" i="3" s="1"/>
  <c r="G464" i="5"/>
  <c r="I464" i="5" s="1"/>
  <c r="F346" i="3"/>
  <c r="H346" i="3" s="1"/>
  <c r="G460" i="5"/>
  <c r="I460" i="5" s="1"/>
  <c r="F320" i="3"/>
  <c r="H320" i="3" s="1"/>
  <c r="G115" i="5"/>
  <c r="F337" i="3"/>
  <c r="H337" i="3" s="1"/>
  <c r="G141" i="5"/>
  <c r="I141" i="5" s="1"/>
  <c r="F323" i="3"/>
  <c r="H323" i="3" s="1"/>
  <c r="G119" i="5"/>
  <c r="I119" i="5" s="1"/>
  <c r="F334" i="3"/>
  <c r="H334" i="3" s="1"/>
  <c r="G137" i="5"/>
  <c r="I137" i="5" s="1"/>
  <c r="F330" i="3"/>
  <c r="H330" i="3" s="1"/>
  <c r="G130" i="5"/>
  <c r="I130" i="5" s="1"/>
  <c r="F327" i="3"/>
  <c r="H327" i="3" s="1"/>
  <c r="G126" i="5"/>
  <c r="I126" i="5" s="1"/>
  <c r="F237" i="3"/>
  <c r="H237" i="3" s="1"/>
  <c r="F223" i="3"/>
  <c r="H223" i="3" s="1"/>
  <c r="F227" i="3"/>
  <c r="H227" i="3" s="1"/>
  <c r="F206" i="3"/>
  <c r="H206" i="3" s="1"/>
  <c r="F195" i="3"/>
  <c r="F186" i="3"/>
  <c r="H186" i="3" s="1"/>
  <c r="F158" i="3"/>
  <c r="H158" i="3" s="1"/>
  <c r="F104" i="3"/>
  <c r="H104" i="3" s="1"/>
  <c r="F110" i="3"/>
  <c r="H110" i="3" s="1"/>
  <c r="F113" i="3"/>
  <c r="F27" i="3"/>
  <c r="H27" i="3" s="1"/>
  <c r="G116" i="5" l="1"/>
  <c r="I116" i="5" s="1"/>
  <c r="I115" i="5"/>
  <c r="F96" i="14"/>
  <c r="G96" i="14" s="1"/>
  <c r="H113" i="3"/>
  <c r="G346" i="14"/>
  <c r="H390" i="3"/>
  <c r="F167" i="14"/>
  <c r="G167" i="14" s="1"/>
  <c r="H195" i="3"/>
  <c r="G348" i="14"/>
  <c r="H392" i="3"/>
  <c r="F185" i="14"/>
  <c r="H213" i="3"/>
  <c r="F356" i="14"/>
  <c r="G356" i="14" s="1"/>
  <c r="H400" i="3"/>
  <c r="F354" i="14"/>
  <c r="G354" i="14" s="1"/>
  <c r="H398" i="3"/>
  <c r="G213" i="14"/>
  <c r="H241" i="3"/>
  <c r="G335" i="14"/>
  <c r="F372" i="3"/>
  <c r="H372" i="3" s="1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G1097" i="4"/>
  <c r="I1097" i="4" s="1"/>
  <c r="G114" i="5"/>
  <c r="I114" i="5" s="1"/>
  <c r="G912" i="5"/>
  <c r="I912" i="5" s="1"/>
  <c r="G898" i="5"/>
  <c r="I898" i="5" s="1"/>
  <c r="G175" i="5"/>
  <c r="I175" i="5" s="1"/>
  <c r="G840" i="5"/>
  <c r="I840" i="5" s="1"/>
  <c r="G836" i="5"/>
  <c r="I836" i="5" s="1"/>
  <c r="G905" i="5"/>
  <c r="I905" i="5" s="1"/>
  <c r="F199" i="3"/>
  <c r="H199" i="3" s="1"/>
  <c r="F280" i="3"/>
  <c r="H280" i="3" s="1"/>
  <c r="F427" i="3"/>
  <c r="H427" i="3" s="1"/>
  <c r="F384" i="14"/>
  <c r="G384" i="14" s="1"/>
  <c r="F394" i="3"/>
  <c r="F351" i="14"/>
  <c r="G351" i="14" s="1"/>
  <c r="F441" i="3"/>
  <c r="H441" i="3" s="1"/>
  <c r="F172" i="3"/>
  <c r="F145" i="14"/>
  <c r="G145" i="14" s="1"/>
  <c r="F329" i="3"/>
  <c r="H329" i="3" s="1"/>
  <c r="F348" i="3"/>
  <c r="F314" i="14"/>
  <c r="G314" i="14" s="1"/>
  <c r="F157" i="3"/>
  <c r="H157" i="3" s="1"/>
  <c r="F201" i="3"/>
  <c r="F174" i="14"/>
  <c r="F431" i="3"/>
  <c r="H431" i="3" s="1"/>
  <c r="F388" i="14"/>
  <c r="G388" i="14" s="1"/>
  <c r="F423" i="3"/>
  <c r="H423" i="3" s="1"/>
  <c r="F380" i="14"/>
  <c r="G380" i="14" s="1"/>
  <c r="F185" i="3"/>
  <c r="H185" i="3" s="1"/>
  <c r="F389" i="3"/>
  <c r="H389" i="3" s="1"/>
  <c r="F326" i="3"/>
  <c r="H326" i="3" s="1"/>
  <c r="F333" i="3"/>
  <c r="F299" i="14"/>
  <c r="G299" i="14" s="1"/>
  <c r="F336" i="3"/>
  <c r="F302" i="14"/>
  <c r="G302" i="14" s="1"/>
  <c r="F345" i="3"/>
  <c r="H345" i="3" s="1"/>
  <c r="G311" i="14"/>
  <c r="F478" i="3"/>
  <c r="H478" i="3" s="1"/>
  <c r="F205" i="3"/>
  <c r="H205" i="3" s="1"/>
  <c r="F322" i="3"/>
  <c r="F288" i="14"/>
  <c r="G288" i="14" s="1"/>
  <c r="F319" i="3"/>
  <c r="F285" i="14"/>
  <c r="G285" i="14" s="1"/>
  <c r="F397" i="3"/>
  <c r="F273" i="3"/>
  <c r="H273" i="3" s="1"/>
  <c r="F292" i="3"/>
  <c r="H292" i="3" s="1"/>
  <c r="F265" i="14"/>
  <c r="G265" i="14" s="1"/>
  <c r="F247" i="3"/>
  <c r="H247" i="3" s="1"/>
  <c r="F220" i="14"/>
  <c r="G220" i="14" s="1"/>
  <c r="G927" i="5"/>
  <c r="I927" i="5" s="1"/>
  <c r="G925" i="5"/>
  <c r="I925" i="5" s="1"/>
  <c r="G860" i="5"/>
  <c r="I860" i="5" s="1"/>
  <c r="G862" i="5"/>
  <c r="I862" i="5" s="1"/>
  <c r="G463" i="5"/>
  <c r="I463" i="5" s="1"/>
  <c r="G465" i="5"/>
  <c r="I465" i="5" s="1"/>
  <c r="G459" i="5"/>
  <c r="I459" i="5" s="1"/>
  <c r="G461" i="5"/>
  <c r="I461" i="5" s="1"/>
  <c r="G136" i="5"/>
  <c r="I136" i="5" s="1"/>
  <c r="G138" i="5"/>
  <c r="I138" i="5" s="1"/>
  <c r="G140" i="5"/>
  <c r="I140" i="5" s="1"/>
  <c r="G142" i="5"/>
  <c r="I142" i="5" s="1"/>
  <c r="G129" i="5"/>
  <c r="I129" i="5" s="1"/>
  <c r="G131" i="5"/>
  <c r="I131" i="5" s="1"/>
  <c r="G118" i="5"/>
  <c r="I118" i="5" s="1"/>
  <c r="G120" i="5"/>
  <c r="I120" i="5" s="1"/>
  <c r="G125" i="5"/>
  <c r="I125" i="5" s="1"/>
  <c r="G127" i="5"/>
  <c r="I127" i="5" s="1"/>
  <c r="F109" i="3"/>
  <c r="H109" i="3" s="1"/>
  <c r="G498" i="5"/>
  <c r="I498" i="5" s="1"/>
  <c r="F103" i="3"/>
  <c r="H103" i="3" s="1"/>
  <c r="G488" i="5"/>
  <c r="I488" i="5" s="1"/>
  <c r="F26" i="3"/>
  <c r="H26" i="3" s="1"/>
  <c r="G479" i="5"/>
  <c r="I479" i="5" s="1"/>
  <c r="F112" i="3"/>
  <c r="H112" i="3" s="1"/>
  <c r="G502" i="5"/>
  <c r="I502" i="5" s="1"/>
  <c r="F194" i="3"/>
  <c r="H194" i="3" s="1"/>
  <c r="G160" i="5"/>
  <c r="I160" i="5" s="1"/>
  <c r="G1214" i="4"/>
  <c r="I1214" i="4" s="1"/>
  <c r="F133" i="3"/>
  <c r="H133" i="3" s="1"/>
  <c r="F138" i="3"/>
  <c r="H138" i="3" s="1"/>
  <c r="F124" i="3"/>
  <c r="H124" i="3" s="1"/>
  <c r="F121" i="3"/>
  <c r="H121" i="3" s="1"/>
  <c r="F66" i="3"/>
  <c r="H66" i="3" s="1"/>
  <c r="F58" i="3"/>
  <c r="H58" i="3" s="1"/>
  <c r="F40" i="3"/>
  <c r="H40" i="3" s="1"/>
  <c r="F18" i="3"/>
  <c r="H18" i="3" s="1"/>
  <c r="F144" i="14" l="1"/>
  <c r="G144" i="14" s="1"/>
  <c r="H172" i="3"/>
  <c r="F287" i="14"/>
  <c r="G287" i="14" s="1"/>
  <c r="H322" i="3"/>
  <c r="F313" i="14"/>
  <c r="G313" i="14" s="1"/>
  <c r="H348" i="3"/>
  <c r="F173" i="14"/>
  <c r="H201" i="3"/>
  <c r="F353" i="14"/>
  <c r="G353" i="14" s="1"/>
  <c r="H397" i="3"/>
  <c r="F298" i="14"/>
  <c r="G298" i="14" s="1"/>
  <c r="H333" i="3"/>
  <c r="F284" i="14"/>
  <c r="H319" i="3"/>
  <c r="F301" i="14"/>
  <c r="G301" i="14" s="1"/>
  <c r="H336" i="3"/>
  <c r="F350" i="14"/>
  <c r="G350" i="14" s="1"/>
  <c r="H394" i="3"/>
  <c r="G290" i="14"/>
  <c r="F290" i="14"/>
  <c r="G345" i="14"/>
  <c r="G310" i="14"/>
  <c r="G309" i="14" s="1"/>
  <c r="G308" i="14" s="1"/>
  <c r="F309" i="14"/>
  <c r="F308" i="14" s="1"/>
  <c r="G397" i="14"/>
  <c r="G396" i="14" s="1"/>
  <c r="F397" i="14"/>
  <c r="F396" i="14" s="1"/>
  <c r="G284" i="14"/>
  <c r="G1213" i="4"/>
  <c r="I1213" i="4" s="1"/>
  <c r="G117" i="5"/>
  <c r="I117" i="5" s="1"/>
  <c r="G458" i="5"/>
  <c r="I458" i="5" s="1"/>
  <c r="G859" i="5"/>
  <c r="I859" i="5" s="1"/>
  <c r="G924" i="5"/>
  <c r="I924" i="5" s="1"/>
  <c r="G489" i="5"/>
  <c r="I489" i="5" s="1"/>
  <c r="G835" i="5"/>
  <c r="I835" i="5" s="1"/>
  <c r="G124" i="5"/>
  <c r="I124" i="5" s="1"/>
  <c r="G128" i="5"/>
  <c r="I128" i="5" s="1"/>
  <c r="G135" i="5"/>
  <c r="I135" i="5" s="1"/>
  <c r="G462" i="5"/>
  <c r="I462" i="5" s="1"/>
  <c r="F344" i="3"/>
  <c r="G139" i="5"/>
  <c r="I139" i="5" s="1"/>
  <c r="F39" i="3"/>
  <c r="F37" i="14"/>
  <c r="G37" i="14" s="1"/>
  <c r="F57" i="3"/>
  <c r="H57" i="3" s="1"/>
  <c r="F279" i="3"/>
  <c r="H279" i="3" s="1"/>
  <c r="F65" i="3"/>
  <c r="H65" i="3" s="1"/>
  <c r="F137" i="3"/>
  <c r="H137" i="3" s="1"/>
  <c r="F193" i="3"/>
  <c r="F166" i="14"/>
  <c r="G166" i="14" s="1"/>
  <c r="F25" i="3"/>
  <c r="H25" i="3" s="1"/>
  <c r="F108" i="3"/>
  <c r="H108" i="3" s="1"/>
  <c r="F325" i="3"/>
  <c r="H325" i="3" s="1"/>
  <c r="F318" i="3"/>
  <c r="H318" i="3" s="1"/>
  <c r="F291" i="3"/>
  <c r="H291" i="3" s="1"/>
  <c r="F264" i="14"/>
  <c r="F120" i="3"/>
  <c r="H120" i="3" s="1"/>
  <c r="F111" i="3"/>
  <c r="F95" i="14"/>
  <c r="G95" i="14" s="1"/>
  <c r="F246" i="3"/>
  <c r="H246" i="3" s="1"/>
  <c r="F219" i="14"/>
  <c r="F123" i="3"/>
  <c r="H123" i="3" s="1"/>
  <c r="F422" i="3"/>
  <c r="H422" i="3" s="1"/>
  <c r="F379" i="14"/>
  <c r="F17" i="3"/>
  <c r="F332" i="3"/>
  <c r="H332" i="3" s="1"/>
  <c r="F184" i="3"/>
  <c r="H184" i="3" s="1"/>
  <c r="F430" i="3"/>
  <c r="H430" i="3" s="1"/>
  <c r="F387" i="14"/>
  <c r="F156" i="3"/>
  <c r="H156" i="3" s="1"/>
  <c r="F440" i="3"/>
  <c r="H440" i="3" s="1"/>
  <c r="F426" i="3"/>
  <c r="H426" i="3" s="1"/>
  <c r="F383" i="14"/>
  <c r="G501" i="5"/>
  <c r="I501" i="5" s="1"/>
  <c r="G503" i="5"/>
  <c r="I503" i="5" s="1"/>
  <c r="G497" i="5"/>
  <c r="I497" i="5" s="1"/>
  <c r="G499" i="5"/>
  <c r="I499" i="5" s="1"/>
  <c r="G478" i="5"/>
  <c r="I478" i="5" s="1"/>
  <c r="G480" i="5"/>
  <c r="I480" i="5" s="1"/>
  <c r="G159" i="5"/>
  <c r="I159" i="5" s="1"/>
  <c r="G161" i="5"/>
  <c r="I161" i="5" s="1"/>
  <c r="G1217" i="4"/>
  <c r="I1217" i="4" s="1"/>
  <c r="F30" i="3"/>
  <c r="H30" i="3" s="1"/>
  <c r="G297" i="14" l="1"/>
  <c r="F94" i="14"/>
  <c r="G94" i="14" s="1"/>
  <c r="G90" i="14" s="1"/>
  <c r="H111" i="3"/>
  <c r="G17" i="14"/>
  <c r="H17" i="3"/>
  <c r="F165" i="14"/>
  <c r="G165" i="14" s="1"/>
  <c r="H193" i="3"/>
  <c r="F343" i="3"/>
  <c r="H343" i="3" s="1"/>
  <c r="H344" i="3"/>
  <c r="F283" i="14"/>
  <c r="F297" i="14"/>
  <c r="F36" i="14"/>
  <c r="G36" i="14" s="1"/>
  <c r="H39" i="3"/>
  <c r="G283" i="14"/>
  <c r="H1082" i="15"/>
  <c r="G1081" i="15"/>
  <c r="G1080" i="15" s="1"/>
  <c r="F27" i="14"/>
  <c r="F26" i="14" s="1"/>
  <c r="F25" i="14" s="1"/>
  <c r="F64" i="3"/>
  <c r="H64" i="3" s="1"/>
  <c r="G422" i="16"/>
  <c r="G421" i="16" s="1"/>
  <c r="G420" i="16" s="1"/>
  <c r="G415" i="16" s="1"/>
  <c r="F282" i="14"/>
  <c r="F281" i="14" s="1"/>
  <c r="F317" i="3"/>
  <c r="H317" i="3" s="1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F90" i="14"/>
  <c r="F251" i="14"/>
  <c r="G1216" i="4"/>
  <c r="I1216" i="4" s="1"/>
  <c r="G123" i="5"/>
  <c r="I123" i="5" s="1"/>
  <c r="G134" i="5"/>
  <c r="G121" i="5"/>
  <c r="I121" i="5" s="1"/>
  <c r="G477" i="5"/>
  <c r="I477" i="5" s="1"/>
  <c r="G500" i="5"/>
  <c r="I500" i="5" s="1"/>
  <c r="G834" i="5"/>
  <c r="I834" i="5" s="1"/>
  <c r="G158" i="5"/>
  <c r="I158" i="5" s="1"/>
  <c r="F107" i="3"/>
  <c r="H107" i="3" s="1"/>
  <c r="G457" i="5"/>
  <c r="I457" i="5" s="1"/>
  <c r="G496" i="5"/>
  <c r="G858" i="5"/>
  <c r="I858" i="5" s="1"/>
  <c r="G132" i="5"/>
  <c r="I132" i="5" s="1"/>
  <c r="F245" i="3"/>
  <c r="H245" i="3" s="1"/>
  <c r="F136" i="3"/>
  <c r="H136" i="3" s="1"/>
  <c r="F122" i="3"/>
  <c r="H122" i="3" s="1"/>
  <c r="F29" i="3"/>
  <c r="H29" i="3" s="1"/>
  <c r="G483" i="5"/>
  <c r="I483" i="5" s="1"/>
  <c r="H499" i="15"/>
  <c r="G411" i="4"/>
  <c r="I411" i="4" s="1"/>
  <c r="G495" i="5" l="1"/>
  <c r="I496" i="5"/>
  <c r="G133" i="5"/>
  <c r="I133" i="5" s="1"/>
  <c r="I134" i="5"/>
  <c r="H498" i="15"/>
  <c r="H860" i="15"/>
  <c r="F135" i="14"/>
  <c r="F134" i="14" s="1"/>
  <c r="G859" i="15"/>
  <c r="H422" i="16"/>
  <c r="H1081" i="15"/>
  <c r="H1080" i="15" s="1"/>
  <c r="G27" i="14"/>
  <c r="G423" i="16"/>
  <c r="G122" i="5"/>
  <c r="I122" i="5" s="1"/>
  <c r="G410" i="4"/>
  <c r="I410" i="4" s="1"/>
  <c r="F893" i="3"/>
  <c r="H893" i="3" s="1"/>
  <c r="G1212" i="4"/>
  <c r="I1212" i="4" s="1"/>
  <c r="G456" i="5"/>
  <c r="G857" i="5"/>
  <c r="I857" i="5" s="1"/>
  <c r="G833" i="5"/>
  <c r="I833" i="5" s="1"/>
  <c r="F316" i="3"/>
  <c r="H316" i="3" s="1"/>
  <c r="F28" i="3"/>
  <c r="H28" i="3" s="1"/>
  <c r="G26" i="14"/>
  <c r="F244" i="3"/>
  <c r="H244" i="3" s="1"/>
  <c r="G482" i="5"/>
  <c r="I482" i="5" s="1"/>
  <c r="G484" i="5"/>
  <c r="I484" i="5" s="1"/>
  <c r="G455" i="5" l="1"/>
  <c r="I455" i="5" s="1"/>
  <c r="I456" i="5"/>
  <c r="G494" i="5"/>
  <c r="I495" i="5"/>
  <c r="H37" i="15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123" i="3"/>
  <c r="H1123" i="3" s="1"/>
  <c r="H375" i="15"/>
  <c r="G568" i="16"/>
  <c r="G1211" i="4"/>
  <c r="I1211" i="4" s="1"/>
  <c r="F860" i="3"/>
  <c r="F131" i="3"/>
  <c r="H131" i="3" s="1"/>
  <c r="G409" i="4"/>
  <c r="I409" i="4" s="1"/>
  <c r="G856" i="5"/>
  <c r="I856" i="5" s="1"/>
  <c r="G454" i="5"/>
  <c r="I454" i="5" s="1"/>
  <c r="G481" i="5"/>
  <c r="I481" i="5" s="1"/>
  <c r="F243" i="3"/>
  <c r="H243" i="3" s="1"/>
  <c r="F24" i="3"/>
  <c r="H24" i="3" s="1"/>
  <c r="G1140" i="4"/>
  <c r="I1140" i="4" s="1"/>
  <c r="G1060" i="4"/>
  <c r="I1060" i="4" s="1"/>
  <c r="H912" i="15"/>
  <c r="G493" i="5" l="1"/>
  <c r="I493" i="5" s="1"/>
  <c r="I494" i="5"/>
  <c r="F859" i="3"/>
  <c r="H859" i="3" s="1"/>
  <c r="H860" i="3"/>
  <c r="G15" i="15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30" i="3"/>
  <c r="H130" i="3" s="1"/>
  <c r="G1059" i="4"/>
  <c r="G934" i="15"/>
  <c r="H934" i="15" s="1"/>
  <c r="G1139" i="4"/>
  <c r="I1139" i="4" s="1"/>
  <c r="F357" i="3"/>
  <c r="H357" i="3" s="1"/>
  <c r="H897" i="15"/>
  <c r="G322" i="14" s="1"/>
  <c r="G321" i="14" s="1"/>
  <c r="G320" i="14" s="1"/>
  <c r="G476" i="5"/>
  <c r="I476" i="5" s="1"/>
  <c r="F23" i="3"/>
  <c r="H23" i="3" s="1"/>
  <c r="G1013" i="4"/>
  <c r="H896" i="15" l="1"/>
  <c r="I1013" i="4"/>
  <c r="G933" i="15"/>
  <c r="H933" i="15" s="1"/>
  <c r="I1059" i="4"/>
  <c r="H567" i="16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202" i="4"/>
  <c r="I202" i="4" s="1"/>
  <c r="H524" i="16" l="1"/>
  <c r="G201" i="4"/>
  <c r="H185" i="15"/>
  <c r="G96" i="4"/>
  <c r="I96" i="4" s="1"/>
  <c r="G93" i="4"/>
  <c r="I93" i="4" s="1"/>
  <c r="G87" i="4"/>
  <c r="I87" i="4" s="1"/>
  <c r="H184" i="15" l="1"/>
  <c r="I201" i="4"/>
  <c r="F89" i="14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92" i="4"/>
  <c r="I92" i="4" s="1"/>
  <c r="G95" i="4"/>
  <c r="G85" i="15"/>
  <c r="H85" i="15" s="1"/>
  <c r="G89" i="4"/>
  <c r="I89" i="4" s="1"/>
  <c r="F106" i="3"/>
  <c r="H106" i="3" s="1"/>
  <c r="G83" i="4"/>
  <c r="I83" i="4" s="1"/>
  <c r="F100" i="3"/>
  <c r="H100" i="3" s="1"/>
  <c r="G290" i="4"/>
  <c r="I290" i="4" s="1"/>
  <c r="G84" i="15" l="1"/>
  <c r="H84" i="15" s="1"/>
  <c r="H80" i="15" s="1"/>
  <c r="I95" i="4"/>
  <c r="H411" i="16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G431" i="16"/>
  <c r="G429" i="16"/>
  <c r="G425" i="16" s="1"/>
  <c r="G424" i="16" s="1"/>
  <c r="G414" i="16" s="1"/>
  <c r="G413" i="16" s="1"/>
  <c r="G86" i="4"/>
  <c r="G289" i="4"/>
  <c r="G271" i="15"/>
  <c r="H271" i="15" s="1"/>
  <c r="G82" i="4"/>
  <c r="I82" i="4" s="1"/>
  <c r="G91" i="4"/>
  <c r="I91" i="4" s="1"/>
  <c r="F99" i="3"/>
  <c r="H99" i="3" s="1"/>
  <c r="G472" i="5"/>
  <c r="I472" i="5" s="1"/>
  <c r="F105" i="3"/>
  <c r="H105" i="3" s="1"/>
  <c r="G491" i="5"/>
  <c r="I491" i="5" s="1"/>
  <c r="G358" i="4"/>
  <c r="I358" i="4" s="1"/>
  <c r="G348" i="4"/>
  <c r="I348" i="4" s="1"/>
  <c r="G270" i="15" l="1"/>
  <c r="H270" i="15" s="1"/>
  <c r="I289" i="4"/>
  <c r="G80" i="15"/>
  <c r="G85" i="4"/>
  <c r="I85" i="4" s="1"/>
  <c r="I86" i="4"/>
  <c r="H410" i="16"/>
  <c r="H409" i="16" s="1"/>
  <c r="H408" i="16" s="1"/>
  <c r="H407" i="16" s="1"/>
  <c r="H431" i="16"/>
  <c r="G406" i="16"/>
  <c r="G405" i="16" s="1"/>
  <c r="G407" i="16"/>
  <c r="G81" i="4"/>
  <c r="G347" i="4"/>
  <c r="G329" i="15"/>
  <c r="H329" i="15" s="1"/>
  <c r="G357" i="4"/>
  <c r="I357" i="4" s="1"/>
  <c r="G473" i="5"/>
  <c r="I473" i="5" s="1"/>
  <c r="G492" i="5"/>
  <c r="I492" i="5" s="1"/>
  <c r="F102" i="3"/>
  <c r="H102" i="3" s="1"/>
  <c r="G85" i="14"/>
  <c r="F98" i="3"/>
  <c r="H98" i="3" s="1"/>
  <c r="G431" i="4"/>
  <c r="I431" i="4" s="1"/>
  <c r="G80" i="4" l="1"/>
  <c r="I80" i="4" s="1"/>
  <c r="I1283" i="4" s="1"/>
  <c r="I81" i="4"/>
  <c r="G328" i="15"/>
  <c r="H328" i="15" s="1"/>
  <c r="I347" i="4"/>
  <c r="H406" i="16"/>
  <c r="H405" i="16" s="1"/>
  <c r="H70" i="15"/>
  <c r="G70" i="15"/>
  <c r="H74" i="15"/>
  <c r="G74" i="15"/>
  <c r="G356" i="4"/>
  <c r="I356" i="4" s="1"/>
  <c r="F97" i="3"/>
  <c r="H97" i="3" s="1"/>
  <c r="F101" i="3"/>
  <c r="H101" i="3" s="1"/>
  <c r="G39" i="6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1035" i="5"/>
  <c r="I1035" i="5" s="1"/>
  <c r="G1028" i="5"/>
  <c r="I1028" i="5" s="1"/>
  <c r="G975" i="5"/>
  <c r="I975" i="5" s="1"/>
  <c r="G970" i="5"/>
  <c r="I970" i="5" s="1"/>
  <c r="G965" i="5"/>
  <c r="I965" i="5" s="1"/>
  <c r="G985" i="5"/>
  <c r="I985" i="5" s="1"/>
  <c r="G979" i="5"/>
  <c r="I979" i="5" s="1"/>
  <c r="G1004" i="5"/>
  <c r="I1004" i="5" s="1"/>
  <c r="G954" i="5"/>
  <c r="I954" i="5" s="1"/>
  <c r="G946" i="5"/>
  <c r="I946" i="5" s="1"/>
  <c r="G938" i="5"/>
  <c r="I938" i="5" s="1"/>
  <c r="G934" i="5"/>
  <c r="I934" i="5" s="1"/>
  <c r="G930" i="5"/>
  <c r="I930" i="5" s="1"/>
  <c r="G910" i="5"/>
  <c r="I910" i="5" s="1"/>
  <c r="G903" i="5"/>
  <c r="I903" i="5" s="1"/>
  <c r="G850" i="5"/>
  <c r="I850" i="5" s="1"/>
  <c r="G823" i="5"/>
  <c r="I823" i="5" s="1"/>
  <c r="G816" i="5"/>
  <c r="I816" i="5" s="1"/>
  <c r="G831" i="5"/>
  <c r="I831" i="5" s="1"/>
  <c r="G784" i="5"/>
  <c r="I784" i="5" s="1"/>
  <c r="G772" i="5"/>
  <c r="I772" i="5" s="1"/>
  <c r="G768" i="5"/>
  <c r="I768" i="5" s="1"/>
  <c r="G549" i="5"/>
  <c r="I549" i="5" s="1"/>
  <c r="G542" i="5"/>
  <c r="I542" i="5" s="1"/>
  <c r="G538" i="5"/>
  <c r="I538" i="5" s="1"/>
  <c r="G510" i="5"/>
  <c r="I510" i="5" s="1"/>
  <c r="G487" i="5"/>
  <c r="I487" i="5" s="1"/>
  <c r="G372" i="5"/>
  <c r="I372" i="5" s="1"/>
  <c r="G329" i="5"/>
  <c r="I329" i="5" s="1"/>
  <c r="G298" i="5"/>
  <c r="I298" i="5" s="1"/>
  <c r="G283" i="5"/>
  <c r="I283" i="5" s="1"/>
  <c r="G276" i="5"/>
  <c r="I276" i="5" s="1"/>
  <c r="G113" i="5"/>
  <c r="I113" i="5" s="1"/>
  <c r="G99" i="5"/>
  <c r="I99" i="5" s="1"/>
  <c r="G73" i="5"/>
  <c r="I73" i="5" s="1"/>
  <c r="G55" i="5"/>
  <c r="I55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239" i="4"/>
  <c r="I1239" i="4" s="1"/>
  <c r="G1236" i="4"/>
  <c r="I1236" i="4" s="1"/>
  <c r="G1228" i="4"/>
  <c r="I1228" i="4" s="1"/>
  <c r="G1225" i="4"/>
  <c r="I1225" i="4" s="1"/>
  <c r="G1206" i="4"/>
  <c r="I1206" i="4" s="1"/>
  <c r="G1203" i="4"/>
  <c r="I1203" i="4" s="1"/>
  <c r="G1193" i="4"/>
  <c r="I1193" i="4" s="1"/>
  <c r="G1180" i="4"/>
  <c r="I1180" i="4" s="1"/>
  <c r="G1175" i="4"/>
  <c r="I1175" i="4" s="1"/>
  <c r="G1171" i="4"/>
  <c r="I1171" i="4" s="1"/>
  <c r="G1158" i="4"/>
  <c r="I1158" i="4" s="1"/>
  <c r="G1153" i="4"/>
  <c r="I1153" i="4" s="1"/>
  <c r="G1151" i="4"/>
  <c r="I1151" i="4" s="1"/>
  <c r="G1137" i="4"/>
  <c r="I1137" i="4" s="1"/>
  <c r="G1130" i="4"/>
  <c r="I1130" i="4" s="1"/>
  <c r="G1127" i="4"/>
  <c r="I1127" i="4" s="1"/>
  <c r="G1122" i="4"/>
  <c r="I1122" i="4" s="1"/>
  <c r="G1133" i="4"/>
  <c r="I1133" i="4" s="1"/>
  <c r="G807" i="5"/>
  <c r="I807" i="5" s="1"/>
  <c r="G1115" i="4"/>
  <c r="G794" i="5"/>
  <c r="I794" i="5" s="1"/>
  <c r="G1089" i="4"/>
  <c r="I1089" i="4" s="1"/>
  <c r="G1085" i="4"/>
  <c r="I1085" i="4" s="1"/>
  <c r="G1081" i="4"/>
  <c r="I1081" i="4" s="1"/>
  <c r="G1057" i="4"/>
  <c r="G1055" i="4"/>
  <c r="G1052" i="4"/>
  <c r="I1052" i="4" s="1"/>
  <c r="G923" i="15"/>
  <c r="G1047" i="4"/>
  <c r="G1040" i="4"/>
  <c r="G1038" i="4"/>
  <c r="I1038" i="4" s="1"/>
  <c r="G899" i="15"/>
  <c r="H899" i="15" s="1"/>
  <c r="G992" i="4"/>
  <c r="I992" i="4" s="1"/>
  <c r="G979" i="4"/>
  <c r="I979" i="4" s="1"/>
  <c r="G958" i="4"/>
  <c r="I958" i="4" s="1"/>
  <c r="F161" i="3"/>
  <c r="H161" i="3" s="1"/>
  <c r="G942" i="4"/>
  <c r="I942" i="4" s="1"/>
  <c r="G927" i="4"/>
  <c r="I927" i="4" s="1"/>
  <c r="G887" i="4"/>
  <c r="I887" i="4" s="1"/>
  <c r="G883" i="4"/>
  <c r="I883" i="4" s="1"/>
  <c r="G880" i="4"/>
  <c r="I880" i="4" s="1"/>
  <c r="G534" i="5"/>
  <c r="I534" i="5" s="1"/>
  <c r="F1036" i="3"/>
  <c r="H1036" i="3" s="1"/>
  <c r="G519" i="5"/>
  <c r="I519" i="5" s="1"/>
  <c r="G847" i="4"/>
  <c r="I847" i="4" s="1"/>
  <c r="G828" i="4"/>
  <c r="I828" i="4" s="1"/>
  <c r="G807" i="4"/>
  <c r="I807" i="4" s="1"/>
  <c r="G795" i="4"/>
  <c r="I795" i="4" s="1"/>
  <c r="G784" i="4"/>
  <c r="I784" i="4" s="1"/>
  <c r="G770" i="4"/>
  <c r="I770" i="4" s="1"/>
  <c r="G765" i="4"/>
  <c r="I765" i="4" s="1"/>
  <c r="G729" i="4"/>
  <c r="I729" i="4" s="1"/>
  <c r="G362" i="5"/>
  <c r="I362" i="5" s="1"/>
  <c r="G719" i="4"/>
  <c r="I719" i="4" s="1"/>
  <c r="G701" i="4"/>
  <c r="I701" i="4" s="1"/>
  <c r="G657" i="15"/>
  <c r="G687" i="4"/>
  <c r="I687" i="4" s="1"/>
  <c r="G681" i="4"/>
  <c r="I681" i="4" s="1"/>
  <c r="G678" i="4"/>
  <c r="I678" i="4" s="1"/>
  <c r="G655" i="4"/>
  <c r="I655" i="4" s="1"/>
  <c r="G650" i="4"/>
  <c r="I650" i="4" s="1"/>
  <c r="G638" i="4"/>
  <c r="I638" i="4" s="1"/>
  <c r="G635" i="4"/>
  <c r="I635" i="4" s="1"/>
  <c r="G625" i="4"/>
  <c r="I625" i="4" s="1"/>
  <c r="G621" i="4"/>
  <c r="I621" i="4" s="1"/>
  <c r="G577" i="15"/>
  <c r="G607" i="4"/>
  <c r="I607" i="4" s="1"/>
  <c r="G601" i="4"/>
  <c r="I601" i="4" s="1"/>
  <c r="G583" i="4"/>
  <c r="I583" i="4" s="1"/>
  <c r="G580" i="4"/>
  <c r="I580" i="4" s="1"/>
  <c r="G551" i="4"/>
  <c r="I551" i="4" s="1"/>
  <c r="G535" i="4"/>
  <c r="I535" i="4" s="1"/>
  <c r="G528" i="4"/>
  <c r="I528" i="4" s="1"/>
  <c r="G499" i="4"/>
  <c r="I499" i="4" s="1"/>
  <c r="G483" i="4"/>
  <c r="I483" i="4" s="1"/>
  <c r="G464" i="4"/>
  <c r="I464" i="4" s="1"/>
  <c r="G459" i="4"/>
  <c r="I459" i="4" s="1"/>
  <c r="F921" i="3"/>
  <c r="H921" i="3" s="1"/>
  <c r="G449" i="4"/>
  <c r="I449" i="4" s="1"/>
  <c r="G446" i="4"/>
  <c r="G444" i="4"/>
  <c r="I444" i="4" s="1"/>
  <c r="G438" i="4"/>
  <c r="I438" i="4" s="1"/>
  <c r="G433" i="4"/>
  <c r="I433" i="4" s="1"/>
  <c r="G428" i="4"/>
  <c r="I428" i="4" s="1"/>
  <c r="G425" i="4"/>
  <c r="I425" i="4" s="1"/>
  <c r="G418" i="4"/>
  <c r="I418" i="4" s="1"/>
  <c r="G415" i="4"/>
  <c r="I415" i="4" s="1"/>
  <c r="G407" i="4"/>
  <c r="I407" i="4" s="1"/>
  <c r="F896" i="3"/>
  <c r="H896" i="3" s="1"/>
  <c r="G654" i="5"/>
  <c r="I654" i="5" s="1"/>
  <c r="G390" i="4"/>
  <c r="I390" i="4" s="1"/>
  <c r="G383" i="4"/>
  <c r="I383" i="4" s="1"/>
  <c r="F869" i="3"/>
  <c r="H869" i="3" s="1"/>
  <c r="G338" i="4"/>
  <c r="I338" i="4" s="1"/>
  <c r="G317" i="4"/>
  <c r="I317" i="4" s="1"/>
  <c r="G314" i="4"/>
  <c r="I314" i="4" s="1"/>
  <c r="G310" i="4"/>
  <c r="I310" i="4" s="1"/>
  <c r="G287" i="4"/>
  <c r="I287" i="4" s="1"/>
  <c r="G283" i="4"/>
  <c r="I283" i="4" s="1"/>
  <c r="G280" i="4"/>
  <c r="I280" i="4" s="1"/>
  <c r="G276" i="4"/>
  <c r="I276" i="4" s="1"/>
  <c r="G273" i="4"/>
  <c r="I273" i="4" s="1"/>
  <c r="G260" i="4"/>
  <c r="I260" i="4" s="1"/>
  <c r="G255" i="4"/>
  <c r="I255" i="4" s="1"/>
  <c r="G252" i="4"/>
  <c r="I252" i="4" s="1"/>
  <c r="G249" i="4"/>
  <c r="I249" i="4" s="1"/>
  <c r="G246" i="4"/>
  <c r="I246" i="4" s="1"/>
  <c r="G243" i="4"/>
  <c r="I243" i="4" s="1"/>
  <c r="G238" i="4"/>
  <c r="I238" i="4" s="1"/>
  <c r="F918" i="14"/>
  <c r="F917" i="14" s="1"/>
  <c r="F914" i="14" s="1"/>
  <c r="H211" i="15"/>
  <c r="G218" i="4"/>
  <c r="I218" i="4" s="1"/>
  <c r="G212" i="4"/>
  <c r="I212" i="4" s="1"/>
  <c r="G205" i="4"/>
  <c r="I205" i="4" s="1"/>
  <c r="G189" i="4"/>
  <c r="I189" i="4" s="1"/>
  <c r="G182" i="4"/>
  <c r="I182" i="4" s="1"/>
  <c r="G175" i="4"/>
  <c r="I175" i="4" s="1"/>
  <c r="G156" i="4"/>
  <c r="I156" i="4" s="1"/>
  <c r="G149" i="4"/>
  <c r="I149" i="4" s="1"/>
  <c r="G144" i="4"/>
  <c r="I144" i="4" s="1"/>
  <c r="G139" i="4"/>
  <c r="I139" i="4" s="1"/>
  <c r="G135" i="4"/>
  <c r="I135" i="4" s="1"/>
  <c r="G471" i="5"/>
  <c r="I471" i="5" s="1"/>
  <c r="G130" i="4"/>
  <c r="I130" i="4" s="1"/>
  <c r="G105" i="4"/>
  <c r="I105" i="4" s="1"/>
  <c r="G102" i="4"/>
  <c r="I102" i="4" s="1"/>
  <c r="F75" i="14"/>
  <c r="F74" i="14" s="1"/>
  <c r="F73" i="14"/>
  <c r="F72" i="14" s="1"/>
  <c r="G74" i="4"/>
  <c r="F68" i="14"/>
  <c r="F67" i="14" s="1"/>
  <c r="F63" i="14"/>
  <c r="F62" i="14" s="1"/>
  <c r="F61" i="14" s="1"/>
  <c r="G52" i="4"/>
  <c r="G45" i="4"/>
  <c r="I45" i="4" s="1"/>
  <c r="G37" i="4"/>
  <c r="I37" i="4" s="1"/>
  <c r="G33" i="4"/>
  <c r="I33" i="4" s="1"/>
  <c r="G22" i="4"/>
  <c r="I22" i="4" s="1"/>
  <c r="G19" i="4"/>
  <c r="I19" i="4" s="1"/>
  <c r="G17" i="4"/>
  <c r="I17" i="4" s="1"/>
  <c r="G15" i="4"/>
  <c r="I15" i="4" s="1"/>
  <c r="F1093" i="3"/>
  <c r="H1093" i="3" s="1"/>
  <c r="F1052" i="3"/>
  <c r="F1049" i="3"/>
  <c r="H1049" i="3" s="1"/>
  <c r="F1046" i="3"/>
  <c r="H1046" i="3" s="1"/>
  <c r="F1019" i="3"/>
  <c r="H1019" i="3" s="1"/>
  <c r="F1002" i="3"/>
  <c r="H1002" i="3" s="1"/>
  <c r="F998" i="3"/>
  <c r="H998" i="3" s="1"/>
  <c r="F950" i="3"/>
  <c r="H950" i="3" s="1"/>
  <c r="F942" i="3"/>
  <c r="H942" i="3" s="1"/>
  <c r="F928" i="3"/>
  <c r="H928" i="3" s="1"/>
  <c r="F917" i="3"/>
  <c r="H917" i="3" s="1"/>
  <c r="F911" i="3"/>
  <c r="H911" i="3" s="1"/>
  <c r="F904" i="3"/>
  <c r="H904" i="3" s="1"/>
  <c r="F899" i="3"/>
  <c r="H899" i="3" s="1"/>
  <c r="F883" i="3"/>
  <c r="H883" i="3" s="1"/>
  <c r="F863" i="3"/>
  <c r="H863" i="3" s="1"/>
  <c r="F715" i="3"/>
  <c r="H715" i="3" s="1"/>
  <c r="F710" i="3"/>
  <c r="H710" i="3" s="1"/>
  <c r="F667" i="3"/>
  <c r="H667" i="3" s="1"/>
  <c r="F626" i="3"/>
  <c r="H626" i="3" s="1"/>
  <c r="F623" i="3"/>
  <c r="H623" i="3" s="1"/>
  <c r="F613" i="3"/>
  <c r="H613" i="3" s="1"/>
  <c r="F610" i="3"/>
  <c r="H610" i="3" s="1"/>
  <c r="F599" i="3"/>
  <c r="H599" i="3" s="1"/>
  <c r="F588" i="3"/>
  <c r="H588" i="3" s="1"/>
  <c r="F583" i="3"/>
  <c r="H583" i="3" s="1"/>
  <c r="F580" i="3"/>
  <c r="H580" i="3" s="1"/>
  <c r="F570" i="3"/>
  <c r="H570" i="3" s="1"/>
  <c r="F566" i="3"/>
  <c r="H566" i="3" s="1"/>
  <c r="F546" i="3"/>
  <c r="H546" i="3" s="1"/>
  <c r="F518" i="3"/>
  <c r="H518" i="3" s="1"/>
  <c r="F496" i="3"/>
  <c r="H496" i="3" s="1"/>
  <c r="F477" i="3"/>
  <c r="F474" i="3"/>
  <c r="H474" i="3" s="1"/>
  <c r="F469" i="3"/>
  <c r="H469" i="3" s="1"/>
  <c r="F466" i="3"/>
  <c r="H466" i="3" s="1"/>
  <c r="F403" i="3"/>
  <c r="H403" i="3" s="1"/>
  <c r="F383" i="3"/>
  <c r="F356" i="3"/>
  <c r="H356" i="3" s="1"/>
  <c r="F240" i="3"/>
  <c r="H240" i="3" s="1"/>
  <c r="F236" i="3"/>
  <c r="H236" i="3" s="1"/>
  <c r="F226" i="3"/>
  <c r="H226" i="3" s="1"/>
  <c r="F222" i="3"/>
  <c r="H222" i="3" s="1"/>
  <c r="F207" i="3"/>
  <c r="H207" i="3" s="1"/>
  <c r="F204" i="3"/>
  <c r="H204" i="3" s="1"/>
  <c r="F198" i="3"/>
  <c r="H198" i="3" s="1"/>
  <c r="F135" i="3"/>
  <c r="H135" i="3" s="1"/>
  <c r="F132" i="3"/>
  <c r="H132" i="3" s="1"/>
  <c r="F51" i="3"/>
  <c r="H51" i="3" s="1"/>
  <c r="F38" i="3"/>
  <c r="H38" i="3" s="1"/>
  <c r="F16" i="3"/>
  <c r="H16" i="3" s="1"/>
  <c r="C182" i="1"/>
  <c r="E182" i="1" s="1"/>
  <c r="C148" i="1"/>
  <c r="E148" i="1" s="1"/>
  <c r="C133" i="1"/>
  <c r="E133" i="1" s="1"/>
  <c r="C127" i="1"/>
  <c r="E127" i="1" s="1"/>
  <c r="C114" i="1"/>
  <c r="E114" i="1" s="1"/>
  <c r="C112" i="1"/>
  <c r="C98" i="1"/>
  <c r="C79" i="1"/>
  <c r="E79" i="1" s="1"/>
  <c r="C68" i="1"/>
  <c r="E68" i="1" s="1"/>
  <c r="C66" i="1"/>
  <c r="E66" i="1" s="1"/>
  <c r="C49" i="1"/>
  <c r="E49" i="1" s="1"/>
  <c r="C47" i="1"/>
  <c r="E47" i="1" s="1"/>
  <c r="C41" i="1"/>
  <c r="E41" i="1" s="1"/>
  <c r="C33" i="1"/>
  <c r="E33" i="1" s="1"/>
  <c r="C27" i="1"/>
  <c r="G38" i="6" l="1"/>
  <c r="I39" i="6"/>
  <c r="F342" i="14"/>
  <c r="G342" i="14" s="1"/>
  <c r="H383" i="3"/>
  <c r="F428" i="14"/>
  <c r="G428" i="14" s="1"/>
  <c r="H477" i="3"/>
  <c r="F949" i="14"/>
  <c r="H1052" i="3"/>
  <c r="C21" i="1"/>
  <c r="E21" i="1" s="1"/>
  <c r="E27" i="1"/>
  <c r="C97" i="1"/>
  <c r="E98" i="1"/>
  <c r="G51" i="4"/>
  <c r="I52" i="4"/>
  <c r="G421" i="15"/>
  <c r="H421" i="15" s="1"/>
  <c r="I446" i="4"/>
  <c r="G987" i="15"/>
  <c r="H987" i="15" s="1"/>
  <c r="H721" i="16" s="1"/>
  <c r="H722" i="16" s="1"/>
  <c r="I1115" i="4"/>
  <c r="G917" i="15"/>
  <c r="H917" i="15" s="1"/>
  <c r="I1040" i="4"/>
  <c r="G929" i="15"/>
  <c r="H929" i="15" s="1"/>
  <c r="I1055" i="4"/>
  <c r="F70" i="14"/>
  <c r="F69" i="14" s="1"/>
  <c r="I74" i="4"/>
  <c r="H921" i="15"/>
  <c r="I1047" i="4"/>
  <c r="G931" i="15"/>
  <c r="H931" i="15" s="1"/>
  <c r="I1057" i="4"/>
  <c r="C121" i="1"/>
  <c r="C141" i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G485" i="10"/>
  <c r="G479" i="10" s="1"/>
  <c r="G478" i="10" s="1"/>
  <c r="G477" i="10" s="1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H923" i="15"/>
  <c r="G920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2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G721" i="16"/>
  <c r="G84" i="14"/>
  <c r="F84" i="14"/>
  <c r="G80" i="14"/>
  <c r="F80" i="14"/>
  <c r="H169" i="15"/>
  <c r="G771" i="16"/>
  <c r="G101" i="4"/>
  <c r="I101" i="4" s="1"/>
  <c r="G783" i="5"/>
  <c r="G129" i="4"/>
  <c r="I129" i="4" s="1"/>
  <c r="G143" i="4"/>
  <c r="G259" i="4"/>
  <c r="I259" i="4" s="1"/>
  <c r="G728" i="5"/>
  <c r="G298" i="15"/>
  <c r="G389" i="4"/>
  <c r="G432" i="4"/>
  <c r="I432" i="4" s="1"/>
  <c r="G448" i="4"/>
  <c r="I448" i="4" s="1"/>
  <c r="G498" i="4"/>
  <c r="I498" i="4" s="1"/>
  <c r="G764" i="4"/>
  <c r="I764" i="4" s="1"/>
  <c r="H695" i="15"/>
  <c r="G806" i="4"/>
  <c r="I806" i="4" s="1"/>
  <c r="F417" i="3"/>
  <c r="G948" i="15"/>
  <c r="F377" i="14" s="1"/>
  <c r="F376" i="14" s="1"/>
  <c r="F375" i="14" s="1"/>
  <c r="G1179" i="4"/>
  <c r="I1179" i="4" s="1"/>
  <c r="G148" i="4"/>
  <c r="G248" i="4"/>
  <c r="I248" i="4" s="1"/>
  <c r="G286" i="4"/>
  <c r="I286" i="4" s="1"/>
  <c r="G268" i="15"/>
  <c r="H268" i="15" s="1"/>
  <c r="G417" i="4"/>
  <c r="I417" i="4" s="1"/>
  <c r="G654" i="4"/>
  <c r="I654" i="4" s="1"/>
  <c r="G340" i="5"/>
  <c r="I340" i="5" s="1"/>
  <c r="G769" i="4"/>
  <c r="I769" i="4" s="1"/>
  <c r="F849" i="3"/>
  <c r="H849" i="3" s="1"/>
  <c r="G941" i="4"/>
  <c r="I941" i="4" s="1"/>
  <c r="F163" i="3"/>
  <c r="G1283" i="4"/>
  <c r="G21" i="4"/>
  <c r="I21" i="4" s="1"/>
  <c r="G42" i="4"/>
  <c r="I42" i="4" s="1"/>
  <c r="F181" i="3"/>
  <c r="H181" i="3" s="1"/>
  <c r="G134" i="4"/>
  <c r="I134" i="4" s="1"/>
  <c r="G174" i="4"/>
  <c r="I174" i="4" s="1"/>
  <c r="G204" i="4"/>
  <c r="I204" i="4" s="1"/>
  <c r="G188" i="15"/>
  <c r="H188" i="15" s="1"/>
  <c r="G217" i="4"/>
  <c r="G237" i="4"/>
  <c r="G224" i="15"/>
  <c r="H224" i="15" s="1"/>
  <c r="G251" i="4"/>
  <c r="G238" i="15"/>
  <c r="H238" i="15" s="1"/>
  <c r="G275" i="4"/>
  <c r="G257" i="15"/>
  <c r="H257" i="15" s="1"/>
  <c r="G309" i="4"/>
  <c r="I309" i="4" s="1"/>
  <c r="G750" i="5"/>
  <c r="G424" i="4"/>
  <c r="I424" i="4" s="1"/>
  <c r="G482" i="4"/>
  <c r="I482" i="4" s="1"/>
  <c r="G530" i="4"/>
  <c r="I530" i="4" s="1"/>
  <c r="G500" i="15"/>
  <c r="G550" i="4"/>
  <c r="G518" i="15"/>
  <c r="H518" i="15" s="1"/>
  <c r="G620" i="4"/>
  <c r="I620" i="4" s="1"/>
  <c r="G634" i="4"/>
  <c r="I634" i="4" s="1"/>
  <c r="G344" i="5"/>
  <c r="F723" i="3"/>
  <c r="G794" i="4"/>
  <c r="H725" i="15"/>
  <c r="F822" i="3"/>
  <c r="H822" i="3" s="1"/>
  <c r="G846" i="4"/>
  <c r="I846" i="4" s="1"/>
  <c r="G879" i="4"/>
  <c r="G800" i="15"/>
  <c r="H800" i="15" s="1"/>
  <c r="F1064" i="3"/>
  <c r="H1064" i="3" s="1"/>
  <c r="F1115" i="3"/>
  <c r="F167" i="3"/>
  <c r="H167" i="3" s="1"/>
  <c r="G991" i="4"/>
  <c r="I991" i="4" s="1"/>
  <c r="G883" i="15"/>
  <c r="H883" i="15" s="1"/>
  <c r="G1080" i="4"/>
  <c r="I1080" i="4" s="1"/>
  <c r="G955" i="15"/>
  <c r="H955" i="15" s="1"/>
  <c r="G1121" i="4"/>
  <c r="I1121" i="4" s="1"/>
  <c r="G1136" i="4"/>
  <c r="I1136" i="4" s="1"/>
  <c r="G1009" i="15"/>
  <c r="H1009" i="15" s="1"/>
  <c r="F14" i="3"/>
  <c r="G1238" i="4"/>
  <c r="I1238" i="4" s="1"/>
  <c r="G245" i="4"/>
  <c r="I245" i="4" s="1"/>
  <c r="G282" i="4"/>
  <c r="G337" i="4"/>
  <c r="I337" i="4" s="1"/>
  <c r="G414" i="4"/>
  <c r="I414" i="4" s="1"/>
  <c r="G534" i="4"/>
  <c r="I534" i="4" s="1"/>
  <c r="G649" i="4"/>
  <c r="I649" i="4" s="1"/>
  <c r="G604" i="15"/>
  <c r="H604" i="15" s="1"/>
  <c r="G677" i="4"/>
  <c r="I677" i="4" s="1"/>
  <c r="G256" i="5"/>
  <c r="G886" i="4"/>
  <c r="G807" i="15"/>
  <c r="H807" i="15" s="1"/>
  <c r="G1088" i="4"/>
  <c r="I1088" i="4" s="1"/>
  <c r="G963" i="15"/>
  <c r="H963" i="15" s="1"/>
  <c r="G1205" i="4"/>
  <c r="I1205" i="4" s="1"/>
  <c r="G39" i="4"/>
  <c r="I39" i="4" s="1"/>
  <c r="G104" i="4"/>
  <c r="I104" i="4" s="1"/>
  <c r="G188" i="4"/>
  <c r="I188" i="4" s="1"/>
  <c r="G211" i="4"/>
  <c r="I211" i="4" s="1"/>
  <c r="G272" i="4"/>
  <c r="G254" i="15"/>
  <c r="H254" i="15" s="1"/>
  <c r="G746" i="5"/>
  <c r="G437" i="4"/>
  <c r="I437" i="4" s="1"/>
  <c r="G600" i="4"/>
  <c r="I600" i="4" s="1"/>
  <c r="F577" i="3"/>
  <c r="H577" i="3" s="1"/>
  <c r="G680" i="4"/>
  <c r="I680" i="4" s="1"/>
  <c r="G827" i="4"/>
  <c r="I827" i="4" s="1"/>
  <c r="G926" i="4"/>
  <c r="I926" i="4" s="1"/>
  <c r="G1129" i="4"/>
  <c r="G1002" i="15"/>
  <c r="H1002" i="15" s="1"/>
  <c r="G1170" i="4"/>
  <c r="G1038" i="15"/>
  <c r="H1038" i="15" s="1"/>
  <c r="G1192" i="4"/>
  <c r="I1192" i="4" s="1"/>
  <c r="G44" i="4"/>
  <c r="I44" i="4" s="1"/>
  <c r="F183" i="3"/>
  <c r="H183" i="3" s="1"/>
  <c r="G138" i="4"/>
  <c r="I138" i="4" s="1"/>
  <c r="G181" i="4"/>
  <c r="I181" i="4" s="1"/>
  <c r="F308" i="3"/>
  <c r="H179" i="15"/>
  <c r="G242" i="4"/>
  <c r="I242" i="4" s="1"/>
  <c r="G229" i="15"/>
  <c r="H229" i="15" s="1"/>
  <c r="G254" i="4"/>
  <c r="I254" i="4" s="1"/>
  <c r="G279" i="4"/>
  <c r="I279" i="4" s="1"/>
  <c r="G754" i="5"/>
  <c r="I754" i="5" s="1"/>
  <c r="G382" i="4"/>
  <c r="G406" i="4"/>
  <c r="I406" i="4" s="1"/>
  <c r="G427" i="4"/>
  <c r="I427" i="4" s="1"/>
  <c r="G463" i="4"/>
  <c r="I463" i="4" s="1"/>
  <c r="G28" i="6"/>
  <c r="G532" i="4"/>
  <c r="I532" i="4" s="1"/>
  <c r="F232" i="3"/>
  <c r="H232" i="3" s="1"/>
  <c r="G582" i="4"/>
  <c r="G544" i="15"/>
  <c r="H544" i="15" s="1"/>
  <c r="G606" i="4"/>
  <c r="I606" i="4" s="1"/>
  <c r="G624" i="4"/>
  <c r="I624" i="4" s="1"/>
  <c r="G586" i="15"/>
  <c r="H586" i="15" s="1"/>
  <c r="G637" i="4"/>
  <c r="I637" i="4" s="1"/>
  <c r="G686" i="4"/>
  <c r="I686" i="4" s="1"/>
  <c r="G700" i="4"/>
  <c r="I700" i="4" s="1"/>
  <c r="F661" i="3"/>
  <c r="H661" i="3" s="1"/>
  <c r="G728" i="4"/>
  <c r="G783" i="4"/>
  <c r="I783" i="4" s="1"/>
  <c r="G882" i="4"/>
  <c r="I882" i="4" s="1"/>
  <c r="F1104" i="3"/>
  <c r="H1104" i="3" s="1"/>
  <c r="G957" i="4"/>
  <c r="I957" i="4" s="1"/>
  <c r="F302" i="3"/>
  <c r="G890" i="15"/>
  <c r="G1051" i="4"/>
  <c r="G926" i="15"/>
  <c r="H926" i="15" s="1"/>
  <c r="G1084" i="4"/>
  <c r="I1084" i="4" s="1"/>
  <c r="G959" i="15"/>
  <c r="H959" i="15" s="1"/>
  <c r="G820" i="5"/>
  <c r="I820" i="5" s="1"/>
  <c r="G1012" i="5"/>
  <c r="G1157" i="4"/>
  <c r="I1157" i="4" s="1"/>
  <c r="G1227" i="4"/>
  <c r="G1092" i="15"/>
  <c r="H1092" i="15" s="1"/>
  <c r="G1132" i="4"/>
  <c r="I1132" i="4" s="1"/>
  <c r="G978" i="4"/>
  <c r="I978" i="4" s="1"/>
  <c r="G579" i="4"/>
  <c r="I579" i="4" s="1"/>
  <c r="G155" i="4"/>
  <c r="I155" i="4" s="1"/>
  <c r="G139" i="15"/>
  <c r="H139" i="15" s="1"/>
  <c r="G1027" i="5"/>
  <c r="I1027" i="5" s="1"/>
  <c r="G902" i="5"/>
  <c r="I902" i="5" s="1"/>
  <c r="G470" i="5"/>
  <c r="I470" i="5" s="1"/>
  <c r="G98" i="5"/>
  <c r="I98" i="5" s="1"/>
  <c r="G771" i="5"/>
  <c r="I771" i="5" s="1"/>
  <c r="G909" i="5"/>
  <c r="I909" i="5" s="1"/>
  <c r="G931" i="5"/>
  <c r="I931" i="5" s="1"/>
  <c r="G371" i="5"/>
  <c r="G1034" i="5"/>
  <c r="I1034" i="5" s="1"/>
  <c r="G54" i="5"/>
  <c r="I54" i="5" s="1"/>
  <c r="G72" i="5"/>
  <c r="I72" i="5" s="1"/>
  <c r="G112" i="5"/>
  <c r="I112" i="5" s="1"/>
  <c r="G13" i="6"/>
  <c r="G12" i="6" s="1"/>
  <c r="G11" i="6" s="1"/>
  <c r="F50" i="3"/>
  <c r="H50" i="3" s="1"/>
  <c r="F468" i="3"/>
  <c r="H468" i="3" s="1"/>
  <c r="F579" i="3"/>
  <c r="H579" i="3" s="1"/>
  <c r="F666" i="3"/>
  <c r="H666" i="3" s="1"/>
  <c r="F882" i="3"/>
  <c r="F997" i="3"/>
  <c r="H997" i="3" s="1"/>
  <c r="F225" i="3"/>
  <c r="H225" i="3" s="1"/>
  <c r="F473" i="3"/>
  <c r="H473" i="3" s="1"/>
  <c r="F582" i="3"/>
  <c r="H582" i="3" s="1"/>
  <c r="F709" i="3"/>
  <c r="H709" i="3" s="1"/>
  <c r="F920" i="3"/>
  <c r="F160" i="3"/>
  <c r="H160" i="3" s="1"/>
  <c r="F15" i="3"/>
  <c r="H15" i="3" s="1"/>
  <c r="F134" i="3"/>
  <c r="H134" i="3" s="1"/>
  <c r="F210" i="3"/>
  <c r="H210" i="3" s="1"/>
  <c r="F235" i="3"/>
  <c r="H235" i="3" s="1"/>
  <c r="F402" i="3"/>
  <c r="H402" i="3" s="1"/>
  <c r="F359" i="14"/>
  <c r="G359" i="14" s="1"/>
  <c r="F565" i="3"/>
  <c r="H565" i="3" s="1"/>
  <c r="F587" i="3"/>
  <c r="H587" i="3" s="1"/>
  <c r="F544" i="14"/>
  <c r="G544" i="14" s="1"/>
  <c r="F622" i="3"/>
  <c r="H622" i="3" s="1"/>
  <c r="F714" i="3"/>
  <c r="H714" i="3" s="1"/>
  <c r="F903" i="3"/>
  <c r="H903" i="3" s="1"/>
  <c r="F941" i="3"/>
  <c r="H941" i="3" s="1"/>
  <c r="F1018" i="3"/>
  <c r="H1018" i="3" s="1"/>
  <c r="F1092" i="3"/>
  <c r="H1092" i="3" s="1"/>
  <c r="F221" i="3"/>
  <c r="H221" i="3" s="1"/>
  <c r="G194" i="14"/>
  <c r="G193" i="14" s="1"/>
  <c r="G192" i="14" s="1"/>
  <c r="F609" i="3"/>
  <c r="H609" i="3" s="1"/>
  <c r="F1048" i="3"/>
  <c r="H1048" i="3" s="1"/>
  <c r="F545" i="3"/>
  <c r="H545" i="3" s="1"/>
  <c r="F612" i="3"/>
  <c r="H612" i="3" s="1"/>
  <c r="F898" i="3"/>
  <c r="H898" i="3" s="1"/>
  <c r="F1001" i="3"/>
  <c r="H1001" i="3" s="1"/>
  <c r="F904" i="14"/>
  <c r="F1035" i="3"/>
  <c r="H1035" i="3" s="1"/>
  <c r="F37" i="3"/>
  <c r="H37" i="3" s="1"/>
  <c r="F216" i="3"/>
  <c r="H216" i="3" s="1"/>
  <c r="F239" i="3"/>
  <c r="H239" i="3" s="1"/>
  <c r="G212" i="14"/>
  <c r="G211" i="14" s="1"/>
  <c r="G210" i="14" s="1"/>
  <c r="F465" i="3"/>
  <c r="H465" i="3" s="1"/>
  <c r="F569" i="3"/>
  <c r="G519" i="14"/>
  <c r="F598" i="3"/>
  <c r="H598" i="3" s="1"/>
  <c r="F625" i="3"/>
  <c r="H625" i="3" s="1"/>
  <c r="F910" i="3"/>
  <c r="H910" i="3" s="1"/>
  <c r="F1045" i="3"/>
  <c r="F943" i="14"/>
  <c r="F96" i="3"/>
  <c r="H96" i="3" s="1"/>
  <c r="C53" i="1"/>
  <c r="E53" i="1" s="1"/>
  <c r="C181" i="1"/>
  <c r="E181" i="1" s="1"/>
  <c r="C40" i="1"/>
  <c r="E40" i="1" s="1"/>
  <c r="C78" i="1"/>
  <c r="E78" i="1" s="1"/>
  <c r="C118" i="1"/>
  <c r="E118" i="1" s="1"/>
  <c r="F476" i="3"/>
  <c r="G827" i="5"/>
  <c r="I827" i="5" s="1"/>
  <c r="C61" i="1"/>
  <c r="E61" i="1" s="1"/>
  <c r="C60" i="1"/>
  <c r="E60" i="1" s="1"/>
  <c r="C32" i="1"/>
  <c r="E32" i="1" s="1"/>
  <c r="C65" i="1"/>
  <c r="E65" i="1" s="1"/>
  <c r="C46" i="1"/>
  <c r="E46" i="1" s="1"/>
  <c r="G1003" i="5"/>
  <c r="I1003" i="5" s="1"/>
  <c r="G1005" i="5"/>
  <c r="I1005" i="5" s="1"/>
  <c r="G984" i="5"/>
  <c r="I984" i="5" s="1"/>
  <c r="G986" i="5"/>
  <c r="I986" i="5" s="1"/>
  <c r="G978" i="5"/>
  <c r="I978" i="5" s="1"/>
  <c r="G980" i="5"/>
  <c r="I980" i="5" s="1"/>
  <c r="G974" i="5"/>
  <c r="I974" i="5" s="1"/>
  <c r="G976" i="5"/>
  <c r="I976" i="5" s="1"/>
  <c r="G969" i="5"/>
  <c r="I969" i="5" s="1"/>
  <c r="G971" i="5"/>
  <c r="I971" i="5" s="1"/>
  <c r="G964" i="5"/>
  <c r="I964" i="5" s="1"/>
  <c r="G966" i="5"/>
  <c r="I966" i="5" s="1"/>
  <c r="G953" i="5"/>
  <c r="I953" i="5" s="1"/>
  <c r="G955" i="5"/>
  <c r="I955" i="5" s="1"/>
  <c r="G937" i="5"/>
  <c r="I937" i="5" s="1"/>
  <c r="G939" i="5"/>
  <c r="I939" i="5" s="1"/>
  <c r="G918" i="5"/>
  <c r="I918" i="5" s="1"/>
  <c r="G933" i="5"/>
  <c r="I933" i="5" s="1"/>
  <c r="G935" i="5"/>
  <c r="I935" i="5" s="1"/>
  <c r="G945" i="5"/>
  <c r="I945" i="5" s="1"/>
  <c r="G947" i="5"/>
  <c r="I947" i="5" s="1"/>
  <c r="G929" i="5"/>
  <c r="I929" i="5" s="1"/>
  <c r="G896" i="5"/>
  <c r="I896" i="5" s="1"/>
  <c r="G849" i="5"/>
  <c r="I849" i="5" s="1"/>
  <c r="G851" i="5"/>
  <c r="I851" i="5" s="1"/>
  <c r="G830" i="5"/>
  <c r="I830" i="5" s="1"/>
  <c r="G832" i="5"/>
  <c r="I832" i="5" s="1"/>
  <c r="G815" i="5"/>
  <c r="I815" i="5" s="1"/>
  <c r="G817" i="5"/>
  <c r="I817" i="5" s="1"/>
  <c r="G822" i="5"/>
  <c r="I822" i="5" s="1"/>
  <c r="G793" i="5"/>
  <c r="I793" i="5" s="1"/>
  <c r="G795" i="5"/>
  <c r="I795" i="5" s="1"/>
  <c r="G806" i="5"/>
  <c r="I806" i="5" s="1"/>
  <c r="G767" i="5"/>
  <c r="I767" i="5" s="1"/>
  <c r="G769" i="5"/>
  <c r="I769" i="5" s="1"/>
  <c r="G653" i="5"/>
  <c r="I653" i="5" s="1"/>
  <c r="G655" i="5"/>
  <c r="I655" i="5" s="1"/>
  <c r="G548" i="5"/>
  <c r="I548" i="5" s="1"/>
  <c r="G550" i="5"/>
  <c r="I550" i="5" s="1"/>
  <c r="G541" i="5"/>
  <c r="I541" i="5" s="1"/>
  <c r="G543" i="5"/>
  <c r="I543" i="5" s="1"/>
  <c r="G533" i="5"/>
  <c r="I533" i="5" s="1"/>
  <c r="G535" i="5"/>
  <c r="I535" i="5" s="1"/>
  <c r="G537" i="5"/>
  <c r="I537" i="5" s="1"/>
  <c r="G539" i="5"/>
  <c r="I539" i="5" s="1"/>
  <c r="G518" i="5"/>
  <c r="I518" i="5" s="1"/>
  <c r="G520" i="5"/>
  <c r="I520" i="5" s="1"/>
  <c r="G509" i="5"/>
  <c r="I509" i="5" s="1"/>
  <c r="G511" i="5"/>
  <c r="I511" i="5" s="1"/>
  <c r="G361" i="5"/>
  <c r="I361" i="5" s="1"/>
  <c r="G363" i="5"/>
  <c r="I363" i="5" s="1"/>
  <c r="G328" i="5"/>
  <c r="I328" i="5" s="1"/>
  <c r="G330" i="5"/>
  <c r="I330" i="5" s="1"/>
  <c r="G297" i="5"/>
  <c r="I297" i="5" s="1"/>
  <c r="G299" i="5"/>
  <c r="I299" i="5" s="1"/>
  <c r="G282" i="5"/>
  <c r="I282" i="5" s="1"/>
  <c r="G284" i="5"/>
  <c r="I284" i="5" s="1"/>
  <c r="G275" i="5"/>
  <c r="I275" i="5" s="1"/>
  <c r="G277" i="5"/>
  <c r="I277" i="5" s="1"/>
  <c r="G52" i="5"/>
  <c r="I52" i="5" s="1"/>
  <c r="G939" i="4"/>
  <c r="I939" i="4" s="1"/>
  <c r="F1106" i="3"/>
  <c r="H1106" i="3" s="1"/>
  <c r="G553" i="5"/>
  <c r="I553" i="5" s="1"/>
  <c r="F1057" i="3"/>
  <c r="H1057" i="3" s="1"/>
  <c r="G935" i="4"/>
  <c r="I935" i="4" s="1"/>
  <c r="F1102" i="3"/>
  <c r="H1102" i="3" s="1"/>
  <c r="G924" i="4"/>
  <c r="I924" i="4" s="1"/>
  <c r="F1091" i="3"/>
  <c r="H1091" i="3" s="1"/>
  <c r="G991" i="5"/>
  <c r="I991" i="5" s="1"/>
  <c r="F1085" i="3"/>
  <c r="H1085" i="3" s="1"/>
  <c r="G589" i="5"/>
  <c r="I589" i="5" s="1"/>
  <c r="F1117" i="3"/>
  <c r="H1117" i="3" s="1"/>
  <c r="F992" i="3"/>
  <c r="H992" i="3" s="1"/>
  <c r="F1015" i="3"/>
  <c r="H1015" i="3" s="1"/>
  <c r="F954" i="3"/>
  <c r="H954" i="3" s="1"/>
  <c r="F978" i="3"/>
  <c r="H978" i="3" s="1"/>
  <c r="G107" i="5"/>
  <c r="I107" i="5" s="1"/>
  <c r="F964" i="3"/>
  <c r="H964" i="3" s="1"/>
  <c r="G32" i="6"/>
  <c r="F988" i="3"/>
  <c r="H988" i="3" s="1"/>
  <c r="F1017" i="3"/>
  <c r="H1017" i="3" s="1"/>
  <c r="G333" i="4"/>
  <c r="I333" i="4" s="1"/>
  <c r="F785" i="3"/>
  <c r="H785" i="3" s="1"/>
  <c r="F768" i="3"/>
  <c r="H768" i="3" s="1"/>
  <c r="G327" i="4"/>
  <c r="I327" i="4" s="1"/>
  <c r="F779" i="3"/>
  <c r="H779" i="3" s="1"/>
  <c r="G330" i="4"/>
  <c r="I330" i="4" s="1"/>
  <c r="F782" i="3"/>
  <c r="H782" i="3" s="1"/>
  <c r="F807" i="3"/>
  <c r="H807" i="3" s="1"/>
  <c r="F858" i="3"/>
  <c r="H858" i="3" s="1"/>
  <c r="G814" i="4"/>
  <c r="I814" i="4" s="1"/>
  <c r="F819" i="3"/>
  <c r="H819" i="3" s="1"/>
  <c r="G842" i="4"/>
  <c r="I842" i="4" s="1"/>
  <c r="F847" i="3"/>
  <c r="H847" i="3" s="1"/>
  <c r="G610" i="4"/>
  <c r="I610" i="4" s="1"/>
  <c r="F556" i="3"/>
  <c r="H556" i="3" s="1"/>
  <c r="G287" i="5"/>
  <c r="I287" i="5" s="1"/>
  <c r="F574" i="3"/>
  <c r="H574" i="3" s="1"/>
  <c r="G321" i="5"/>
  <c r="I321" i="5" s="1"/>
  <c r="F641" i="3"/>
  <c r="H641" i="3" s="1"/>
  <c r="F654" i="3"/>
  <c r="H654" i="3" s="1"/>
  <c r="G790" i="4"/>
  <c r="I790" i="4" s="1"/>
  <c r="F736" i="3"/>
  <c r="H736" i="3" s="1"/>
  <c r="G268" i="5"/>
  <c r="I268" i="5" s="1"/>
  <c r="F561" i="3"/>
  <c r="H561" i="3" s="1"/>
  <c r="G684" i="4"/>
  <c r="I684" i="4" s="1"/>
  <c r="F630" i="3"/>
  <c r="H630" i="3" s="1"/>
  <c r="F644" i="3"/>
  <c r="H644" i="3" s="1"/>
  <c r="G711" i="4"/>
  <c r="I711" i="4" s="1"/>
  <c r="F657" i="3"/>
  <c r="H657" i="3" s="1"/>
  <c r="G366" i="5"/>
  <c r="I366" i="5" s="1"/>
  <c r="F671" i="3"/>
  <c r="H671" i="3" s="1"/>
  <c r="G836" i="4"/>
  <c r="I836" i="4" s="1"/>
  <c r="F841" i="3"/>
  <c r="H841" i="3" s="1"/>
  <c r="G1155" i="4"/>
  <c r="F499" i="3"/>
  <c r="H499" i="3" s="1"/>
  <c r="G690" i="4"/>
  <c r="I690" i="4" s="1"/>
  <c r="F636" i="3"/>
  <c r="H636" i="3" s="1"/>
  <c r="G333" i="5"/>
  <c r="I333" i="5" s="1"/>
  <c r="F650" i="3"/>
  <c r="H650" i="3" s="1"/>
  <c r="G718" i="4"/>
  <c r="I718" i="4" s="1"/>
  <c r="F664" i="3"/>
  <c r="H664" i="3" s="1"/>
  <c r="G787" i="4"/>
  <c r="I787" i="4" s="1"/>
  <c r="F733" i="3"/>
  <c r="H733" i="3" s="1"/>
  <c r="G825" i="4"/>
  <c r="I825" i="4" s="1"/>
  <c r="F830" i="3"/>
  <c r="H830" i="3" s="1"/>
  <c r="G1168" i="4"/>
  <c r="F512" i="3"/>
  <c r="H512" i="3" s="1"/>
  <c r="G604" i="4"/>
  <c r="I604" i="4" s="1"/>
  <c r="F550" i="3"/>
  <c r="H550" i="3" s="1"/>
  <c r="G440" i="5"/>
  <c r="I440" i="5" s="1"/>
  <c r="F748" i="3"/>
  <c r="H748" i="3" s="1"/>
  <c r="G823" i="4"/>
  <c r="I823" i="4" s="1"/>
  <c r="F828" i="3"/>
  <c r="H828" i="3" s="1"/>
  <c r="G840" i="4"/>
  <c r="I840" i="4" s="1"/>
  <c r="F845" i="3"/>
  <c r="H845" i="3" s="1"/>
  <c r="G1177" i="4"/>
  <c r="I1177" i="4" s="1"/>
  <c r="F521" i="3"/>
  <c r="H521" i="3" s="1"/>
  <c r="F278" i="3"/>
  <c r="H278" i="3" s="1"/>
  <c r="G172" i="4"/>
  <c r="I172" i="4" s="1"/>
  <c r="F265" i="3"/>
  <c r="H265" i="3" s="1"/>
  <c r="G548" i="4"/>
  <c r="I548" i="4" s="1"/>
  <c r="F171" i="3"/>
  <c r="H171" i="3" s="1"/>
  <c r="F409" i="3"/>
  <c r="H409" i="3" s="1"/>
  <c r="F455" i="3"/>
  <c r="H455" i="3" s="1"/>
  <c r="F458" i="3"/>
  <c r="F266" i="3"/>
  <c r="H266" i="3" s="1"/>
  <c r="F259" i="3"/>
  <c r="H259" i="3" s="1"/>
  <c r="G1015" i="4"/>
  <c r="I1015" i="4" s="1"/>
  <c r="F359" i="3"/>
  <c r="H359" i="3" s="1"/>
  <c r="G563" i="4"/>
  <c r="I563" i="4" s="1"/>
  <c r="F362" i="3"/>
  <c r="H362" i="3" s="1"/>
  <c r="G1021" i="4"/>
  <c r="I1021" i="4" s="1"/>
  <c r="F365" i="3"/>
  <c r="H365" i="3" s="1"/>
  <c r="F413" i="3"/>
  <c r="H413" i="3" s="1"/>
  <c r="F262" i="3"/>
  <c r="H262" i="3" s="1"/>
  <c r="F263" i="3"/>
  <c r="H263" i="3" s="1"/>
  <c r="G197" i="4"/>
  <c r="I197" i="4" s="1"/>
  <c r="F310" i="3"/>
  <c r="H310" i="3" s="1"/>
  <c r="F288" i="3"/>
  <c r="H288" i="3" s="1"/>
  <c r="F421" i="3"/>
  <c r="H421" i="3" s="1"/>
  <c r="F192" i="3"/>
  <c r="H192" i="3" s="1"/>
  <c r="G66" i="4"/>
  <c r="I66" i="4" s="1"/>
  <c r="F80" i="3"/>
  <c r="H80" i="3" s="1"/>
  <c r="G68" i="4"/>
  <c r="I68" i="4" s="1"/>
  <c r="F82" i="3"/>
  <c r="H82" i="3" s="1"/>
  <c r="G76" i="4"/>
  <c r="I76" i="4" s="1"/>
  <c r="F90" i="3"/>
  <c r="H90" i="3" s="1"/>
  <c r="G71" i="4"/>
  <c r="I71" i="4" s="1"/>
  <c r="F85" i="3"/>
  <c r="H85" i="3" s="1"/>
  <c r="G73" i="4"/>
  <c r="I73" i="4" s="1"/>
  <c r="F87" i="3"/>
  <c r="H87" i="3" s="1"/>
  <c r="G1234" i="4"/>
  <c r="I1234" i="4" s="1"/>
  <c r="F119" i="3"/>
  <c r="H119" i="3" s="1"/>
  <c r="G78" i="4"/>
  <c r="I78" i="4" s="1"/>
  <c r="F92" i="3"/>
  <c r="H92" i="3" s="1"/>
  <c r="G226" i="4"/>
  <c r="I226" i="4" s="1"/>
  <c r="F728" i="3"/>
  <c r="H728" i="3" s="1"/>
  <c r="F56" i="3"/>
  <c r="H56" i="3" s="1"/>
  <c r="F381" i="3"/>
  <c r="H381" i="3" s="1"/>
  <c r="G961" i="4"/>
  <c r="I961" i="4" s="1"/>
  <c r="G1077" i="4"/>
  <c r="I1077" i="4" s="1"/>
  <c r="G1117" i="4"/>
  <c r="I1117" i="4" s="1"/>
  <c r="G306" i="4"/>
  <c r="I306" i="4" s="1"/>
  <c r="G470" i="4"/>
  <c r="I470" i="4" s="1"/>
  <c r="G802" i="4"/>
  <c r="I802" i="4" s="1"/>
  <c r="G817" i="4"/>
  <c r="I817" i="4" s="1"/>
  <c r="F264" i="3"/>
  <c r="H264" i="3" s="1"/>
  <c r="G628" i="4"/>
  <c r="I628" i="4" s="1"/>
  <c r="F1033" i="3"/>
  <c r="H1033" i="3" s="1"/>
  <c r="G170" i="4"/>
  <c r="I170" i="4" s="1"/>
  <c r="G195" i="4"/>
  <c r="I195" i="4" s="1"/>
  <c r="G488" i="4"/>
  <c r="I488" i="4" s="1"/>
  <c r="G695" i="4"/>
  <c r="I695" i="4" s="1"/>
  <c r="G967" i="4"/>
  <c r="I967" i="4" s="1"/>
  <c r="G986" i="4"/>
  <c r="I986" i="4" s="1"/>
  <c r="G443" i="4"/>
  <c r="I443" i="4" s="1"/>
  <c r="G302" i="4"/>
  <c r="I302" i="4" s="1"/>
  <c r="G1069" i="4"/>
  <c r="I1069" i="4" s="1"/>
  <c r="F489" i="3"/>
  <c r="H489" i="3" s="1"/>
  <c r="F1108" i="3"/>
  <c r="H1108" i="3" s="1"/>
  <c r="G224" i="4"/>
  <c r="I224" i="4" s="1"/>
  <c r="G235" i="4"/>
  <c r="I235" i="4" s="1"/>
  <c r="G316" i="4"/>
  <c r="I316" i="4" s="1"/>
  <c r="G401" i="4"/>
  <c r="G492" i="4"/>
  <c r="I492" i="4" s="1"/>
  <c r="G844" i="4"/>
  <c r="I844" i="4" s="1"/>
  <c r="G890" i="4"/>
  <c r="I890" i="4" s="1"/>
  <c r="G963" i="4"/>
  <c r="I963" i="4" s="1"/>
  <c r="G1201" i="4"/>
  <c r="F460" i="3"/>
  <c r="H460" i="3" s="1"/>
  <c r="F894" i="3"/>
  <c r="H894" i="3" s="1"/>
  <c r="F1055" i="3"/>
  <c r="H1055" i="3" s="1"/>
  <c r="F472" i="3"/>
  <c r="H472" i="3" s="1"/>
  <c r="F494" i="3"/>
  <c r="H494" i="3" s="1"/>
  <c r="F513" i="3"/>
  <c r="F1043" i="3"/>
  <c r="H1043" i="3" s="1"/>
  <c r="G166" i="4"/>
  <c r="I166" i="4" s="1"/>
  <c r="G457" i="4"/>
  <c r="I457" i="4" s="1"/>
  <c r="G461" i="4"/>
  <c r="I461" i="4" s="1"/>
  <c r="G704" i="4"/>
  <c r="I704" i="4" s="1"/>
  <c r="G725" i="4"/>
  <c r="I725" i="4" s="1"/>
  <c r="G867" i="4"/>
  <c r="I867" i="4" s="1"/>
  <c r="G877" i="4"/>
  <c r="I877" i="4" s="1"/>
  <c r="G1046" i="4"/>
  <c r="I1046" i="4" s="1"/>
  <c r="G1108" i="4"/>
  <c r="I1108" i="4" s="1"/>
  <c r="G49" i="5"/>
  <c r="G354" i="4"/>
  <c r="G272" i="5"/>
  <c r="I272" i="5" s="1"/>
  <c r="G618" i="4"/>
  <c r="I618" i="4" s="1"/>
  <c r="F552" i="3"/>
  <c r="H552" i="3" s="1"/>
  <c r="G291" i="5"/>
  <c r="I291" i="5" s="1"/>
  <c r="F563" i="3"/>
  <c r="H563" i="3" s="1"/>
  <c r="F1039" i="3"/>
  <c r="H1039" i="3" s="1"/>
  <c r="G1030" i="4"/>
  <c r="G1020" i="5"/>
  <c r="I1020" i="5" s="1"/>
  <c r="G556" i="4"/>
  <c r="I556" i="4" s="1"/>
  <c r="G777" i="4"/>
  <c r="I777" i="4" s="1"/>
  <c r="F722" i="3"/>
  <c r="H722" i="3" s="1"/>
  <c r="G937" i="4"/>
  <c r="I937" i="4" s="1"/>
  <c r="G1018" i="4"/>
  <c r="I1018" i="4" s="1"/>
  <c r="F47" i="3"/>
  <c r="H47" i="3" s="1"/>
  <c r="F53" i="3"/>
  <c r="H53" i="3" s="1"/>
  <c r="F645" i="3"/>
  <c r="H645" i="3" s="1"/>
  <c r="G14" i="4"/>
  <c r="I14" i="4" s="1"/>
  <c r="G601" i="5"/>
  <c r="I601" i="5" s="1"/>
  <c r="G368" i="4"/>
  <c r="I368" i="4" s="1"/>
  <c r="G65" i="5"/>
  <c r="I65" i="5" s="1"/>
  <c r="G478" i="4"/>
  <c r="I478" i="4" s="1"/>
  <c r="G168" i="5"/>
  <c r="I168" i="5" s="1"/>
  <c r="G591" i="4"/>
  <c r="I591" i="4" s="1"/>
  <c r="G631" i="4"/>
  <c r="I631" i="4" s="1"/>
  <c r="G27" i="5"/>
  <c r="I27" i="5" s="1"/>
  <c r="G125" i="4"/>
  <c r="I125" i="4" s="1"/>
  <c r="G698" i="4"/>
  <c r="I698" i="4" s="1"/>
  <c r="G325" i="5"/>
  <c r="I325" i="5" s="1"/>
  <c r="G715" i="4"/>
  <c r="I715" i="4" s="1"/>
  <c r="F632" i="3"/>
  <c r="H632" i="3" s="1"/>
  <c r="G376" i="4"/>
  <c r="I376" i="4" s="1"/>
  <c r="G708" i="4"/>
  <c r="I708" i="4" s="1"/>
  <c r="G897" i="4"/>
  <c r="I897" i="4" s="1"/>
  <c r="G1065" i="4"/>
  <c r="I1065" i="4" s="1"/>
  <c r="G1223" i="4"/>
  <c r="I1223" i="4" s="1"/>
  <c r="F36" i="3"/>
  <c r="H36" i="3" s="1"/>
  <c r="G1037" i="4"/>
  <c r="I1037" i="4" s="1"/>
  <c r="G1054" i="4"/>
  <c r="F452" i="3"/>
  <c r="H452" i="3" s="1"/>
  <c r="G127" i="4"/>
  <c r="I127" i="4" s="1"/>
  <c r="G352" i="4"/>
  <c r="I352" i="4" s="1"/>
  <c r="G604" i="5"/>
  <c r="I604" i="5" s="1"/>
  <c r="G370" i="4"/>
  <c r="I370" i="4" s="1"/>
  <c r="F874" i="3"/>
  <c r="H874" i="3" s="1"/>
  <c r="G345" i="4"/>
  <c r="I345" i="4" s="1"/>
  <c r="G651" i="5"/>
  <c r="I651" i="5" s="1"/>
  <c r="G399" i="4"/>
  <c r="I399" i="4" s="1"/>
  <c r="F892" i="3"/>
  <c r="H892" i="3" s="1"/>
  <c r="G35" i="4"/>
  <c r="I35" i="4" s="1"/>
  <c r="F49" i="3"/>
  <c r="H49" i="3" s="1"/>
  <c r="G490" i="5"/>
  <c r="I490" i="5" s="1"/>
  <c r="G163" i="4"/>
  <c r="I163" i="4" s="1"/>
  <c r="F255" i="3"/>
  <c r="H255" i="3" s="1"/>
  <c r="G304" i="4"/>
  <c r="I304" i="4" s="1"/>
  <c r="G598" i="5"/>
  <c r="I598" i="5" s="1"/>
  <c r="G366" i="4"/>
  <c r="I366" i="4" s="1"/>
  <c r="F867" i="3"/>
  <c r="H867" i="3" s="1"/>
  <c r="G374" i="4"/>
  <c r="G566" i="4"/>
  <c r="I566" i="4" s="1"/>
  <c r="G657" i="5"/>
  <c r="I657" i="5" s="1"/>
  <c r="G403" i="4"/>
  <c r="F607" i="3"/>
  <c r="H607" i="3" s="1"/>
  <c r="G448" i="5"/>
  <c r="I448" i="5" s="1"/>
  <c r="G586" i="5"/>
  <c r="I586" i="5" s="1"/>
  <c r="G948" i="4"/>
  <c r="I948" i="4" s="1"/>
  <c r="G615" i="4"/>
  <c r="I615" i="4" s="1"/>
  <c r="G662" i="4"/>
  <c r="I662" i="4" s="1"/>
  <c r="G722" i="4"/>
  <c r="I722" i="4" s="1"/>
  <c r="G24" i="5"/>
  <c r="I24" i="5" s="1"/>
  <c r="G998" i="4"/>
  <c r="I998" i="4" s="1"/>
  <c r="G1073" i="4"/>
  <c r="G1111" i="4"/>
  <c r="I1111" i="4" s="1"/>
  <c r="G798" i="5"/>
  <c r="I798" i="5" s="1"/>
  <c r="G918" i="4"/>
  <c r="I918" i="4" s="1"/>
  <c r="G950" i="4"/>
  <c r="I950" i="4" s="1"/>
  <c r="G1000" i="4"/>
  <c r="G1113" i="4"/>
  <c r="G1125" i="4"/>
  <c r="I1125" i="4" s="1"/>
  <c r="G1145" i="4"/>
  <c r="I1145" i="4" s="1"/>
  <c r="F957" i="3"/>
  <c r="H957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85" i="4"/>
  <c r="I185" i="4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F936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729" i="5" l="1"/>
  <c r="I729" i="5" s="1"/>
  <c r="I728" i="5"/>
  <c r="G782" i="5"/>
  <c r="I782" i="5" s="1"/>
  <c r="I783" i="5"/>
  <c r="D18" i="13"/>
  <c r="F17" i="2"/>
  <c r="G370" i="5"/>
  <c r="I370" i="5" s="1"/>
  <c r="I371" i="5"/>
  <c r="G1011" i="5"/>
  <c r="I1011" i="5" s="1"/>
  <c r="I1012" i="5"/>
  <c r="G27" i="6"/>
  <c r="I28" i="6"/>
  <c r="G751" i="5"/>
  <c r="I751" i="5" s="1"/>
  <c r="I750" i="5"/>
  <c r="G45" i="5"/>
  <c r="I49" i="5"/>
  <c r="G31" i="6"/>
  <c r="I32" i="6"/>
  <c r="G745" i="5"/>
  <c r="I745" i="5" s="1"/>
  <c r="I746" i="5"/>
  <c r="G257" i="5"/>
  <c r="I257" i="5" s="1"/>
  <c r="I256" i="5"/>
  <c r="G345" i="5"/>
  <c r="I345" i="5" s="1"/>
  <c r="I344" i="5"/>
  <c r="G37" i="6"/>
  <c r="I38" i="6"/>
  <c r="F913" i="3"/>
  <c r="H913" i="3" s="1"/>
  <c r="H920" i="3"/>
  <c r="F935" i="3"/>
  <c r="H935" i="3" s="1"/>
  <c r="H936" i="3"/>
  <c r="F412" i="14"/>
  <c r="H458" i="3"/>
  <c r="F878" i="3"/>
  <c r="H878" i="3" s="1"/>
  <c r="H882" i="3"/>
  <c r="F1114" i="3"/>
  <c r="H1114" i="3" s="1"/>
  <c r="H1115" i="3"/>
  <c r="G191" i="5"/>
  <c r="H723" i="3"/>
  <c r="F373" i="14"/>
  <c r="G373" i="14" s="1"/>
  <c r="H417" i="3"/>
  <c r="F462" i="14"/>
  <c r="G462" i="14" s="1"/>
  <c r="H513" i="3"/>
  <c r="G518" i="14"/>
  <c r="H569" i="3"/>
  <c r="F13" i="3"/>
  <c r="H13" i="3" s="1"/>
  <c r="H14" i="3"/>
  <c r="F162" i="3"/>
  <c r="H162" i="3" s="1"/>
  <c r="H163" i="3"/>
  <c r="F427" i="14"/>
  <c r="G427" i="14" s="1"/>
  <c r="H476" i="3"/>
  <c r="F942" i="14"/>
  <c r="H1045" i="3"/>
  <c r="F272" i="14"/>
  <c r="G272" i="14" s="1"/>
  <c r="H302" i="3"/>
  <c r="F307" i="3"/>
  <c r="H307" i="3" s="1"/>
  <c r="H308" i="3"/>
  <c r="C140" i="1"/>
  <c r="E140" i="1" s="1"/>
  <c r="E141" i="1"/>
  <c r="C120" i="1"/>
  <c r="E120" i="1" s="1"/>
  <c r="E121" i="1"/>
  <c r="H355" i="15"/>
  <c r="H353" i="15" s="1"/>
  <c r="I374" i="4"/>
  <c r="G928" i="15"/>
  <c r="H928" i="15" s="1"/>
  <c r="I1054" i="4"/>
  <c r="G1200" i="4"/>
  <c r="I1201" i="4"/>
  <c r="G1091" i="15"/>
  <c r="H1091" i="15" s="1"/>
  <c r="I1227" i="4"/>
  <c r="G1037" i="15"/>
  <c r="I1170" i="4"/>
  <c r="G806" i="15"/>
  <c r="H806" i="15" s="1"/>
  <c r="I886" i="4"/>
  <c r="I282" i="4"/>
  <c r="G985" i="15"/>
  <c r="H985" i="15" s="1"/>
  <c r="I1113" i="4"/>
  <c r="H378" i="15"/>
  <c r="I403" i="4"/>
  <c r="H376" i="15"/>
  <c r="I401" i="4"/>
  <c r="G517" i="15"/>
  <c r="H517" i="15" s="1"/>
  <c r="I550" i="4"/>
  <c r="G256" i="15"/>
  <c r="H256" i="15" s="1"/>
  <c r="I275" i="4"/>
  <c r="G223" i="15"/>
  <c r="H223" i="15" s="1"/>
  <c r="I237" i="4"/>
  <c r="G146" i="4"/>
  <c r="I148" i="4"/>
  <c r="I51" i="4"/>
  <c r="G889" i="15"/>
  <c r="H889" i="15" s="1"/>
  <c r="H885" i="15" s="1"/>
  <c r="I1000" i="4"/>
  <c r="G351" i="4"/>
  <c r="I351" i="4" s="1"/>
  <c r="I354" i="4"/>
  <c r="G727" i="4"/>
  <c r="I727" i="4" s="1"/>
  <c r="I728" i="4"/>
  <c r="G381" i="4"/>
  <c r="I381" i="4" s="1"/>
  <c r="I382" i="4"/>
  <c r="G1001" i="15"/>
  <c r="H1001" i="15" s="1"/>
  <c r="I1129" i="4"/>
  <c r="G199" i="15"/>
  <c r="G198" i="15" s="1"/>
  <c r="G197" i="15" s="1"/>
  <c r="I217" i="4"/>
  <c r="G947" i="15"/>
  <c r="H947" i="15" s="1"/>
  <c r="I1073" i="4"/>
  <c r="G1029" i="4"/>
  <c r="I1029" i="4" s="1"/>
  <c r="I1030" i="4"/>
  <c r="G1165" i="4"/>
  <c r="I1165" i="4" s="1"/>
  <c r="I1168" i="4"/>
  <c r="G1150" i="4"/>
  <c r="I1150" i="4" s="1"/>
  <c r="I1155" i="4"/>
  <c r="G925" i="15"/>
  <c r="H925" i="15" s="1"/>
  <c r="I1051" i="4"/>
  <c r="G543" i="15"/>
  <c r="H543" i="15" s="1"/>
  <c r="I582" i="4"/>
  <c r="G253" i="15"/>
  <c r="G252" i="15" s="1"/>
  <c r="I272" i="4"/>
  <c r="G799" i="15"/>
  <c r="H799" i="15" s="1"/>
  <c r="I879" i="4"/>
  <c r="G793" i="4"/>
  <c r="I793" i="4" s="1"/>
  <c r="I794" i="4"/>
  <c r="G237" i="15"/>
  <c r="H237" i="15" s="1"/>
  <c r="I251" i="4"/>
  <c r="G385" i="4"/>
  <c r="I385" i="4" s="1"/>
  <c r="I389" i="4"/>
  <c r="G142" i="4"/>
  <c r="I142" i="4" s="1"/>
  <c r="I143" i="4"/>
  <c r="G13" i="4"/>
  <c r="I13" i="4" s="1"/>
  <c r="G442" i="4"/>
  <c r="I442" i="4" s="1"/>
  <c r="G100" i="4"/>
  <c r="I100" i="4" s="1"/>
  <c r="G631" i="15"/>
  <c r="G960" i="4"/>
  <c r="G822" i="4"/>
  <c r="C105" i="1"/>
  <c r="G557" i="15"/>
  <c r="F564" i="14"/>
  <c r="G963" i="10"/>
  <c r="G121" i="10"/>
  <c r="G97" i="10" s="1"/>
  <c r="G56" i="10" s="1"/>
  <c r="G420" i="4"/>
  <c r="I420" i="4" s="1"/>
  <c r="F490" i="14"/>
  <c r="G377" i="14"/>
  <c r="G376" i="14" s="1"/>
  <c r="G375" i="14" s="1"/>
  <c r="C115" i="12"/>
  <c r="C114" i="12" s="1"/>
  <c r="C113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003" i="10" s="1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95" i="4"/>
  <c r="I995" i="4" s="1"/>
  <c r="H232" i="15"/>
  <c r="G231" i="15"/>
  <c r="H231" i="15" s="1"/>
  <c r="D122" i="12"/>
  <c r="G546" i="10"/>
  <c r="G459" i="10"/>
  <c r="G995" i="10"/>
  <c r="G507" i="10"/>
  <c r="G271" i="4"/>
  <c r="I271" i="4" s="1"/>
  <c r="G413" i="4"/>
  <c r="I413" i="4" s="1"/>
  <c r="G147" i="4"/>
  <c r="I147" i="4" s="1"/>
  <c r="G839" i="4"/>
  <c r="G32" i="4"/>
  <c r="I32" i="4" s="1"/>
  <c r="H178" i="15"/>
  <c r="G278" i="14"/>
  <c r="G277" i="14" s="1"/>
  <c r="G527" i="4"/>
  <c r="F233" i="14"/>
  <c r="G585" i="15"/>
  <c r="H585" i="15" s="1"/>
  <c r="G456" i="4"/>
  <c r="I456" i="4" s="1"/>
  <c r="G169" i="4"/>
  <c r="I169" i="4" s="1"/>
  <c r="H374" i="15"/>
  <c r="G398" i="4"/>
  <c r="I398" i="4" s="1"/>
  <c r="G223" i="4"/>
  <c r="G301" i="4"/>
  <c r="I301" i="4" s="1"/>
  <c r="G934" i="4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G584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41" i="4"/>
  <c r="G353" i="16"/>
  <c r="G352" i="16" s="1"/>
  <c r="G351" i="16" s="1"/>
  <c r="G141" i="4"/>
  <c r="G64" i="15"/>
  <c r="G54" i="15"/>
  <c r="H501" i="15"/>
  <c r="F46" i="14"/>
  <c r="F45" i="14" s="1"/>
  <c r="G59" i="15"/>
  <c r="F109" i="14"/>
  <c r="G652" i="4"/>
  <c r="I652" i="4" s="1"/>
  <c r="G481" i="4"/>
  <c r="I481" i="4" s="1"/>
  <c r="H181" i="15"/>
  <c r="G336" i="4"/>
  <c r="I336" i="4" s="1"/>
  <c r="G215" i="4"/>
  <c r="G653" i="4"/>
  <c r="I653" i="4" s="1"/>
  <c r="G727" i="5"/>
  <c r="F182" i="3"/>
  <c r="H182" i="3" s="1"/>
  <c r="F416" i="3"/>
  <c r="G351" i="5"/>
  <c r="F576" i="3"/>
  <c r="G79" i="14"/>
  <c r="G633" i="4"/>
  <c r="I633" i="4" s="1"/>
  <c r="G365" i="4"/>
  <c r="I365" i="4" s="1"/>
  <c r="G255" i="5"/>
  <c r="F166" i="3"/>
  <c r="F79" i="14"/>
  <c r="G104" i="16"/>
  <c r="G103" i="16" s="1"/>
  <c r="G102" i="16" s="1"/>
  <c r="G101" i="16" s="1"/>
  <c r="G106" i="16"/>
  <c r="G805" i="4"/>
  <c r="I805" i="4" s="1"/>
  <c r="G480" i="4"/>
  <c r="I480" i="4" s="1"/>
  <c r="G578" i="4"/>
  <c r="F660" i="3"/>
  <c r="H322" i="16"/>
  <c r="H321" i="16" s="1"/>
  <c r="H267" i="16"/>
  <c r="G883" i="5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G885" i="15"/>
  <c r="G559" i="5"/>
  <c r="I559" i="5" s="1"/>
  <c r="F848" i="3"/>
  <c r="H848" i="3" s="1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1037" i="15"/>
  <c r="H298" i="15"/>
  <c r="H645" i="16" s="1"/>
  <c r="H644" i="16" s="1"/>
  <c r="H640" i="16" s="1"/>
  <c r="G645" i="16"/>
  <c r="H253" i="15"/>
  <c r="H252" i="15" s="1"/>
  <c r="H259" i="15"/>
  <c r="G259" i="15"/>
  <c r="G278" i="4"/>
  <c r="I278" i="4" s="1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806" i="16"/>
  <c r="G805" i="16" s="1"/>
  <c r="G804" i="16" s="1"/>
  <c r="G803" i="16" s="1"/>
  <c r="G802" i="16" s="1"/>
  <c r="G808" i="16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31" i="3"/>
  <c r="G747" i="5"/>
  <c r="I747" i="5" s="1"/>
  <c r="G917" i="5"/>
  <c r="I917" i="5" s="1"/>
  <c r="F301" i="3"/>
  <c r="H301" i="3" s="1"/>
  <c r="G819" i="5"/>
  <c r="F180" i="3"/>
  <c r="H180" i="3" s="1"/>
  <c r="G804" i="4"/>
  <c r="I804" i="4" s="1"/>
  <c r="G341" i="5"/>
  <c r="I341" i="5" s="1"/>
  <c r="G257" i="4"/>
  <c r="I257" i="4" s="1"/>
  <c r="G258" i="4"/>
  <c r="I258" i="4" s="1"/>
  <c r="G335" i="4"/>
  <c r="I335" i="4" s="1"/>
  <c r="G216" i="4"/>
  <c r="I216" i="4" s="1"/>
  <c r="G821" i="5"/>
  <c r="G339" i="5"/>
  <c r="G452" i="5"/>
  <c r="I452" i="5" s="1"/>
  <c r="F129" i="3"/>
  <c r="F821" i="3"/>
  <c r="H821" i="3" s="1"/>
  <c r="G755" i="5"/>
  <c r="I755" i="5" s="1"/>
  <c r="G753" i="5"/>
  <c r="G749" i="5"/>
  <c r="G111" i="5"/>
  <c r="I111" i="5" s="1"/>
  <c r="G53" i="5"/>
  <c r="I53" i="5" s="1"/>
  <c r="G1124" i="4"/>
  <c r="I1124" i="4" s="1"/>
  <c r="G614" i="4"/>
  <c r="G576" i="15"/>
  <c r="H576" i="15" s="1"/>
  <c r="G721" i="4"/>
  <c r="I721" i="4" s="1"/>
  <c r="H683" i="15"/>
  <c r="G162" i="4"/>
  <c r="I162" i="4" s="1"/>
  <c r="G707" i="4"/>
  <c r="I707" i="4" s="1"/>
  <c r="G590" i="4"/>
  <c r="H909" i="15"/>
  <c r="H910" i="15"/>
  <c r="G703" i="4"/>
  <c r="I703" i="4" s="1"/>
  <c r="G234" i="4"/>
  <c r="I234" i="4" s="1"/>
  <c r="G1068" i="4"/>
  <c r="I1068" i="4" s="1"/>
  <c r="H943" i="15"/>
  <c r="G469" i="4"/>
  <c r="I469" i="4" s="1"/>
  <c r="G1020" i="4"/>
  <c r="I1020" i="4" s="1"/>
  <c r="G1012" i="4"/>
  <c r="I1012" i="4" s="1"/>
  <c r="G898" i="15"/>
  <c r="H898" i="15" s="1"/>
  <c r="G547" i="4"/>
  <c r="I547" i="4" s="1"/>
  <c r="H1144" i="15"/>
  <c r="G1144" i="15"/>
  <c r="G1144" i="4"/>
  <c r="I1144" i="4" s="1"/>
  <c r="G661" i="4"/>
  <c r="G344" i="4"/>
  <c r="I344" i="4" s="1"/>
  <c r="G1222" i="4"/>
  <c r="I1222" i="4" s="1"/>
  <c r="G714" i="4"/>
  <c r="I714" i="4" s="1"/>
  <c r="G776" i="4"/>
  <c r="I776" i="4" s="1"/>
  <c r="G617" i="4"/>
  <c r="G579" i="15"/>
  <c r="H579" i="15" s="1"/>
  <c r="G876" i="4"/>
  <c r="I876" i="4" s="1"/>
  <c r="H797" i="15"/>
  <c r="G694" i="4"/>
  <c r="G656" i="15"/>
  <c r="H656" i="15" s="1"/>
  <c r="F578" i="3"/>
  <c r="H578" i="3" s="1"/>
  <c r="G786" i="4"/>
  <c r="I786" i="4" s="1"/>
  <c r="G609" i="4"/>
  <c r="I609" i="4" s="1"/>
  <c r="G329" i="4"/>
  <c r="I329" i="4" s="1"/>
  <c r="G923" i="4"/>
  <c r="G1083" i="4"/>
  <c r="I1083" i="4" s="1"/>
  <c r="G958" i="15"/>
  <c r="G1191" i="4"/>
  <c r="I1191" i="4" s="1"/>
  <c r="G436" i="4"/>
  <c r="I436" i="4" s="1"/>
  <c r="G187" i="4"/>
  <c r="I187" i="4" s="1"/>
  <c r="G1087" i="4"/>
  <c r="I1087" i="4" s="1"/>
  <c r="G962" i="15"/>
  <c r="G648" i="4"/>
  <c r="I648" i="4" s="1"/>
  <c r="G603" i="15"/>
  <c r="G1135" i="4"/>
  <c r="I1135" i="4" s="1"/>
  <c r="G1008" i="15"/>
  <c r="G1079" i="4"/>
  <c r="I1079" i="4" s="1"/>
  <c r="G954" i="15"/>
  <c r="G200" i="4"/>
  <c r="I200" i="4" s="1"/>
  <c r="G187" i="15"/>
  <c r="G133" i="4"/>
  <c r="I133" i="4" s="1"/>
  <c r="G41" i="4"/>
  <c r="G768" i="4"/>
  <c r="I768" i="4" s="1"/>
  <c r="G285" i="4"/>
  <c r="I285" i="4" s="1"/>
  <c r="G267" i="15"/>
  <c r="G763" i="4"/>
  <c r="I763" i="4" s="1"/>
  <c r="G497" i="4"/>
  <c r="I497" i="4" s="1"/>
  <c r="G430" i="4"/>
  <c r="I430" i="4" s="1"/>
  <c r="G917" i="4"/>
  <c r="I917" i="4" s="1"/>
  <c r="G1064" i="4"/>
  <c r="I1064" i="4" s="1"/>
  <c r="G477" i="4"/>
  <c r="I477" i="4" s="1"/>
  <c r="G1017" i="4"/>
  <c r="I1017" i="4" s="1"/>
  <c r="G555" i="4"/>
  <c r="I555" i="4" s="1"/>
  <c r="G866" i="4"/>
  <c r="G487" i="4"/>
  <c r="I487" i="4" s="1"/>
  <c r="G627" i="4"/>
  <c r="I627" i="4" s="1"/>
  <c r="G801" i="4"/>
  <c r="G1116" i="4"/>
  <c r="I1116" i="4" s="1"/>
  <c r="G1233" i="4"/>
  <c r="G562" i="4"/>
  <c r="I562" i="4" s="1"/>
  <c r="G683" i="4"/>
  <c r="I683" i="4" s="1"/>
  <c r="G332" i="4"/>
  <c r="I332" i="4" s="1"/>
  <c r="G565" i="4"/>
  <c r="I565" i="4" s="1"/>
  <c r="G896" i="4"/>
  <c r="G697" i="4"/>
  <c r="H659" i="15"/>
  <c r="G630" i="4"/>
  <c r="I630" i="4" s="1"/>
  <c r="G1107" i="4"/>
  <c r="I1107" i="4" s="1"/>
  <c r="G724" i="4"/>
  <c r="I724" i="4" s="1"/>
  <c r="G165" i="4"/>
  <c r="I165" i="4" s="1"/>
  <c r="G889" i="4"/>
  <c r="I889" i="4" s="1"/>
  <c r="G313" i="4"/>
  <c r="I313" i="4" s="1"/>
  <c r="G297" i="15"/>
  <c r="H297" i="15" s="1"/>
  <c r="G985" i="4"/>
  <c r="I985" i="4" s="1"/>
  <c r="G1076" i="4"/>
  <c r="I1076" i="4" s="1"/>
  <c r="G1174" i="4"/>
  <c r="G603" i="4"/>
  <c r="I603" i="4" s="1"/>
  <c r="G717" i="4"/>
  <c r="I717" i="4" s="1"/>
  <c r="G689" i="4"/>
  <c r="I689" i="4" s="1"/>
  <c r="G835" i="4"/>
  <c r="I835" i="4" s="1"/>
  <c r="G710" i="4"/>
  <c r="I710" i="4" s="1"/>
  <c r="G326" i="4"/>
  <c r="I326" i="4" s="1"/>
  <c r="G405" i="4"/>
  <c r="I405" i="4" s="1"/>
  <c r="G137" i="4"/>
  <c r="G210" i="4"/>
  <c r="I210" i="4" s="1"/>
  <c r="G990" i="4"/>
  <c r="I990" i="4" s="1"/>
  <c r="G882" i="15"/>
  <c r="G308" i="4"/>
  <c r="I308" i="4" s="1"/>
  <c r="F197" i="3"/>
  <c r="G813" i="4"/>
  <c r="I813" i="4" s="1"/>
  <c r="G770" i="5"/>
  <c r="I770" i="5" s="1"/>
  <c r="G977" i="4"/>
  <c r="I977" i="4" s="1"/>
  <c r="G816" i="4"/>
  <c r="I816" i="4" s="1"/>
  <c r="G491" i="4"/>
  <c r="G64" i="5"/>
  <c r="I64" i="5" s="1"/>
  <c r="G1019" i="5"/>
  <c r="I1019" i="5" s="1"/>
  <c r="G281" i="5"/>
  <c r="I281" i="5" s="1"/>
  <c r="G766" i="5"/>
  <c r="I766" i="5" s="1"/>
  <c r="G792" i="5"/>
  <c r="I792" i="5" s="1"/>
  <c r="G895" i="5"/>
  <c r="I895" i="5" s="1"/>
  <c r="G977" i="5"/>
  <c r="I977" i="5" s="1"/>
  <c r="G963" i="5"/>
  <c r="I963" i="5" s="1"/>
  <c r="G973" i="5"/>
  <c r="I973" i="5" s="1"/>
  <c r="G983" i="5"/>
  <c r="I983" i="5" s="1"/>
  <c r="G996" i="5"/>
  <c r="I996" i="5" s="1"/>
  <c r="G360" i="5"/>
  <c r="I360" i="5" s="1"/>
  <c r="G517" i="5"/>
  <c r="I517" i="5" s="1"/>
  <c r="G532" i="5"/>
  <c r="I532" i="5" s="1"/>
  <c r="G547" i="5"/>
  <c r="I547" i="5" s="1"/>
  <c r="G952" i="5"/>
  <c r="I952" i="5" s="1"/>
  <c r="G968" i="5"/>
  <c r="I968" i="5" s="1"/>
  <c r="G1002" i="5"/>
  <c r="I1002" i="5" s="1"/>
  <c r="G848" i="5"/>
  <c r="I848" i="5" s="1"/>
  <c r="G928" i="5"/>
  <c r="I928" i="5" s="1"/>
  <c r="G944" i="5"/>
  <c r="I944" i="5" s="1"/>
  <c r="G1033" i="5"/>
  <c r="I1033" i="5" s="1"/>
  <c r="G908" i="5"/>
  <c r="I908" i="5" s="1"/>
  <c r="G97" i="5"/>
  <c r="I97" i="5" s="1"/>
  <c r="G469" i="5"/>
  <c r="I469" i="5" s="1"/>
  <c r="G1026" i="5"/>
  <c r="I1026" i="5" s="1"/>
  <c r="G167" i="5"/>
  <c r="I167" i="5" s="1"/>
  <c r="G106" i="5"/>
  <c r="I106" i="5" s="1"/>
  <c r="G296" i="5"/>
  <c r="I296" i="5" s="1"/>
  <c r="G327" i="5"/>
  <c r="I327" i="5" s="1"/>
  <c r="G508" i="5"/>
  <c r="I508" i="5" s="1"/>
  <c r="G536" i="5"/>
  <c r="I536" i="5" s="1"/>
  <c r="G540" i="5"/>
  <c r="I540" i="5" s="1"/>
  <c r="F902" i="3"/>
  <c r="H902" i="3" s="1"/>
  <c r="G274" i="5"/>
  <c r="I274" i="5" s="1"/>
  <c r="G814" i="5"/>
  <c r="I814" i="5" s="1"/>
  <c r="G829" i="5"/>
  <c r="I829" i="5" s="1"/>
  <c r="G932" i="5"/>
  <c r="I932" i="5" s="1"/>
  <c r="G936" i="5"/>
  <c r="I936" i="5" s="1"/>
  <c r="G71" i="5"/>
  <c r="I71" i="5" s="1"/>
  <c r="G1010" i="5"/>
  <c r="I1010" i="5" s="1"/>
  <c r="G901" i="5"/>
  <c r="I901" i="5" s="1"/>
  <c r="G154" i="4"/>
  <c r="I154" i="4" s="1"/>
  <c r="G138" i="15"/>
  <c r="F254" i="3"/>
  <c r="H254" i="3" s="1"/>
  <c r="F562" i="3"/>
  <c r="G512" i="14"/>
  <c r="F1053" i="3"/>
  <c r="F84" i="3"/>
  <c r="H84" i="3" s="1"/>
  <c r="F560" i="3"/>
  <c r="H560" i="3" s="1"/>
  <c r="G510" i="14"/>
  <c r="F1016" i="3"/>
  <c r="H1016" i="3" s="1"/>
  <c r="F471" i="3"/>
  <c r="H471" i="3" s="1"/>
  <c r="F747" i="3"/>
  <c r="H747" i="3" s="1"/>
  <c r="F732" i="3"/>
  <c r="H732" i="3" s="1"/>
  <c r="F670" i="3"/>
  <c r="H670" i="3" s="1"/>
  <c r="F781" i="3"/>
  <c r="H781" i="3" s="1"/>
  <c r="F1116" i="3"/>
  <c r="H1116" i="3" s="1"/>
  <c r="F220" i="3"/>
  <c r="H220" i="3" s="1"/>
  <c r="F708" i="3"/>
  <c r="H708" i="3" s="1"/>
  <c r="F996" i="3"/>
  <c r="H996" i="3" s="1"/>
  <c r="F467" i="3"/>
  <c r="H467" i="3" s="1"/>
  <c r="F956" i="3"/>
  <c r="H956" i="3" s="1"/>
  <c r="F606" i="3"/>
  <c r="H606" i="3" s="1"/>
  <c r="F866" i="3"/>
  <c r="F779" i="14"/>
  <c r="F451" i="3"/>
  <c r="H451" i="3" s="1"/>
  <c r="F52" i="3"/>
  <c r="H52" i="3" s="1"/>
  <c r="F721" i="3"/>
  <c r="H721" i="3" s="1"/>
  <c r="F551" i="3"/>
  <c r="H551" i="3" s="1"/>
  <c r="F1042" i="3"/>
  <c r="H1042" i="3" s="1"/>
  <c r="F459" i="3"/>
  <c r="H459" i="3" s="1"/>
  <c r="F91" i="3"/>
  <c r="H91" i="3" s="1"/>
  <c r="F86" i="3"/>
  <c r="H86" i="3" s="1"/>
  <c r="F89" i="3"/>
  <c r="H89" i="3" s="1"/>
  <c r="F79" i="3"/>
  <c r="H79" i="3" s="1"/>
  <c r="F361" i="3"/>
  <c r="H361" i="3" s="1"/>
  <c r="F258" i="3"/>
  <c r="H258" i="3" s="1"/>
  <c r="F735" i="3"/>
  <c r="H735" i="3" s="1"/>
  <c r="F784" i="3"/>
  <c r="H784" i="3" s="1"/>
  <c r="F952" i="3"/>
  <c r="H952" i="3" s="1"/>
  <c r="F475" i="3"/>
  <c r="F118" i="3"/>
  <c r="H118" i="3" s="1"/>
  <c r="F81" i="3"/>
  <c r="H81" i="3" s="1"/>
  <c r="G156" i="5"/>
  <c r="I156" i="5" s="1"/>
  <c r="F364" i="3"/>
  <c r="H364" i="3" s="1"/>
  <c r="F358" i="3"/>
  <c r="H358" i="3" s="1"/>
  <c r="F324" i="14"/>
  <c r="G324" i="14" s="1"/>
  <c r="F170" i="3"/>
  <c r="H170" i="3" s="1"/>
  <c r="F653" i="3"/>
  <c r="H653" i="3" s="1"/>
  <c r="F48" i="3"/>
  <c r="H48" i="3" s="1"/>
  <c r="F35" i="3"/>
  <c r="H35" i="3" s="1"/>
  <c r="F631" i="3"/>
  <c r="H631" i="3" s="1"/>
  <c r="F488" i="3"/>
  <c r="H488" i="3" s="1"/>
  <c r="F55" i="3"/>
  <c r="H55" i="3" s="1"/>
  <c r="F287" i="3"/>
  <c r="H287" i="3" s="1"/>
  <c r="F454" i="3"/>
  <c r="H454" i="3" s="1"/>
  <c r="F844" i="3"/>
  <c r="H844" i="3" s="1"/>
  <c r="F511" i="3"/>
  <c r="F649" i="3"/>
  <c r="H649" i="3" s="1"/>
  <c r="F498" i="3"/>
  <c r="H498" i="3" s="1"/>
  <c r="F643" i="3"/>
  <c r="H643" i="3" s="1"/>
  <c r="F640" i="3"/>
  <c r="H640" i="3" s="1"/>
  <c r="F590" i="14"/>
  <c r="F818" i="3"/>
  <c r="H818" i="3" s="1"/>
  <c r="F767" i="3"/>
  <c r="H767" i="3" s="1"/>
  <c r="F683" i="14"/>
  <c r="G683" i="14" s="1"/>
  <c r="F977" i="3"/>
  <c r="H977" i="3" s="1"/>
  <c r="F1137" i="3"/>
  <c r="H1137" i="3" s="1"/>
  <c r="F1090" i="3"/>
  <c r="H1090" i="3" s="1"/>
  <c r="F1105" i="3"/>
  <c r="H1105" i="3" s="1"/>
  <c r="F238" i="3"/>
  <c r="H238" i="3" s="1"/>
  <c r="F1000" i="3"/>
  <c r="H1000" i="3" s="1"/>
  <c r="F234" i="3"/>
  <c r="H234" i="3" s="1"/>
  <c r="F46" i="3"/>
  <c r="H46" i="3" s="1"/>
  <c r="F1038" i="3"/>
  <c r="H1038" i="3" s="1"/>
  <c r="F1032" i="3"/>
  <c r="H1032" i="3" s="1"/>
  <c r="F380" i="3"/>
  <c r="F309" i="3"/>
  <c r="H309" i="3" s="1"/>
  <c r="G337" i="14"/>
  <c r="F520" i="3"/>
  <c r="H520" i="3" s="1"/>
  <c r="F827" i="3"/>
  <c r="H827" i="3" s="1"/>
  <c r="F829" i="3"/>
  <c r="H829" i="3" s="1"/>
  <c r="F840" i="3"/>
  <c r="H840" i="3" s="1"/>
  <c r="F573" i="3"/>
  <c r="H573" i="3" s="1"/>
  <c r="F846" i="3"/>
  <c r="H846" i="3" s="1"/>
  <c r="F857" i="3"/>
  <c r="H857" i="3" s="1"/>
  <c r="F778" i="3"/>
  <c r="H778" i="3" s="1"/>
  <c r="F963" i="3"/>
  <c r="H963" i="3" s="1"/>
  <c r="F1014" i="3"/>
  <c r="H1014" i="3" s="1"/>
  <c r="F1084" i="3"/>
  <c r="H1084" i="3" s="1"/>
  <c r="F1101" i="3"/>
  <c r="H1101" i="3" s="1"/>
  <c r="F1129" i="3"/>
  <c r="H1129" i="3" s="1"/>
  <c r="F906" i="3"/>
  <c r="H906" i="3" s="1"/>
  <c r="F597" i="3"/>
  <c r="H597" i="3" s="1"/>
  <c r="F464" i="3"/>
  <c r="H464" i="3" s="1"/>
  <c r="F713" i="3"/>
  <c r="H713" i="3" s="1"/>
  <c r="F586" i="3"/>
  <c r="H586" i="3" s="1"/>
  <c r="F543" i="14"/>
  <c r="F388" i="3"/>
  <c r="H388" i="3" s="1"/>
  <c r="F358" i="14"/>
  <c r="F224" i="3"/>
  <c r="H224" i="3" s="1"/>
  <c r="C139" i="1"/>
  <c r="E139" i="1" s="1"/>
  <c r="G184" i="4"/>
  <c r="I184" i="4" s="1"/>
  <c r="C16" i="1"/>
  <c r="E16" i="1" s="1"/>
  <c r="C180" i="1"/>
  <c r="E180" i="1" s="1"/>
  <c r="C45" i="1"/>
  <c r="F420" i="3"/>
  <c r="H420" i="3" s="1"/>
  <c r="G890" i="5"/>
  <c r="I890" i="5" s="1"/>
  <c r="F412" i="3"/>
  <c r="H412" i="3" s="1"/>
  <c r="G876" i="5"/>
  <c r="I876" i="5" s="1"/>
  <c r="F408" i="3"/>
  <c r="H408" i="3" s="1"/>
  <c r="G869" i="5"/>
  <c r="I869" i="5" s="1"/>
  <c r="G828" i="5"/>
  <c r="I828" i="5" s="1"/>
  <c r="G826" i="5"/>
  <c r="I826" i="5" s="1"/>
  <c r="F456" i="3"/>
  <c r="G804" i="5"/>
  <c r="I804" i="5" s="1"/>
  <c r="F277" i="3"/>
  <c r="H277" i="3" s="1"/>
  <c r="G854" i="5"/>
  <c r="I854" i="5" s="1"/>
  <c r="G990" i="5"/>
  <c r="I990" i="5" s="1"/>
  <c r="G992" i="5"/>
  <c r="I992" i="5" s="1"/>
  <c r="G797" i="5"/>
  <c r="I797" i="5" s="1"/>
  <c r="G799" i="5"/>
  <c r="I799" i="5" s="1"/>
  <c r="G714" i="5"/>
  <c r="I714" i="5" s="1"/>
  <c r="G656" i="5"/>
  <c r="I656" i="5" s="1"/>
  <c r="G658" i="5"/>
  <c r="I658" i="5" s="1"/>
  <c r="G650" i="5"/>
  <c r="I650" i="5" s="1"/>
  <c r="G652" i="5"/>
  <c r="I652" i="5" s="1"/>
  <c r="G597" i="5"/>
  <c r="I597" i="5" s="1"/>
  <c r="G599" i="5"/>
  <c r="I599" i="5" s="1"/>
  <c r="G600" i="5"/>
  <c r="I600" i="5" s="1"/>
  <c r="G602" i="5"/>
  <c r="I602" i="5" s="1"/>
  <c r="G603" i="5"/>
  <c r="I603" i="5" s="1"/>
  <c r="G605" i="5"/>
  <c r="I605" i="5" s="1"/>
  <c r="G588" i="5"/>
  <c r="I588" i="5" s="1"/>
  <c r="G590" i="5"/>
  <c r="I590" i="5" s="1"/>
  <c r="G585" i="5"/>
  <c r="I585" i="5" s="1"/>
  <c r="G587" i="5"/>
  <c r="I587" i="5" s="1"/>
  <c r="G552" i="5"/>
  <c r="I552" i="5" s="1"/>
  <c r="G554" i="5"/>
  <c r="I554" i="5" s="1"/>
  <c r="G526" i="5"/>
  <c r="I526" i="5" s="1"/>
  <c r="G522" i="5"/>
  <c r="I522" i="5" s="1"/>
  <c r="G486" i="5"/>
  <c r="I486" i="5" s="1"/>
  <c r="G447" i="5"/>
  <c r="I447" i="5" s="1"/>
  <c r="G449" i="5"/>
  <c r="I449" i="5" s="1"/>
  <c r="G439" i="5"/>
  <c r="I439" i="5" s="1"/>
  <c r="G441" i="5"/>
  <c r="I441" i="5" s="1"/>
  <c r="G365" i="5"/>
  <c r="I365" i="5" s="1"/>
  <c r="G367" i="5"/>
  <c r="I367" i="5" s="1"/>
  <c r="G332" i="5"/>
  <c r="I332" i="5" s="1"/>
  <c r="G334" i="5"/>
  <c r="I334" i="5" s="1"/>
  <c r="G320" i="5"/>
  <c r="I320" i="5" s="1"/>
  <c r="G322" i="5"/>
  <c r="I322" i="5" s="1"/>
  <c r="G324" i="5"/>
  <c r="I324" i="5" s="1"/>
  <c r="G326" i="5"/>
  <c r="I326" i="5" s="1"/>
  <c r="G286" i="5"/>
  <c r="I286" i="5" s="1"/>
  <c r="G288" i="5"/>
  <c r="I288" i="5" s="1"/>
  <c r="G290" i="5"/>
  <c r="I290" i="5" s="1"/>
  <c r="G292" i="5"/>
  <c r="I292" i="5" s="1"/>
  <c r="G267" i="5"/>
  <c r="I267" i="5" s="1"/>
  <c r="G269" i="5"/>
  <c r="I269" i="5" s="1"/>
  <c r="G271" i="5"/>
  <c r="I271" i="5" s="1"/>
  <c r="G273" i="5"/>
  <c r="I273" i="5" s="1"/>
  <c r="G23" i="5"/>
  <c r="I23" i="5" s="1"/>
  <c r="G25" i="5"/>
  <c r="I25" i="5" s="1"/>
  <c r="G26" i="5"/>
  <c r="I26" i="5" s="1"/>
  <c r="G28" i="5"/>
  <c r="I28" i="5" s="1"/>
  <c r="G781" i="5"/>
  <c r="I781" i="5" s="1"/>
  <c r="G789" i="4"/>
  <c r="I789" i="4" s="1"/>
  <c r="G260" i="5"/>
  <c r="I260" i="5" s="1"/>
  <c r="F663" i="3"/>
  <c r="H663" i="3" s="1"/>
  <c r="G355" i="5"/>
  <c r="I355" i="5" s="1"/>
  <c r="F635" i="3"/>
  <c r="H635" i="3" s="1"/>
  <c r="G243" i="5"/>
  <c r="I243" i="5" s="1"/>
  <c r="F656" i="3"/>
  <c r="H656" i="3" s="1"/>
  <c r="G343" i="5"/>
  <c r="I343" i="5" s="1"/>
  <c r="F555" i="3"/>
  <c r="H555" i="3" s="1"/>
  <c r="G214" i="5"/>
  <c r="I214" i="5" s="1"/>
  <c r="F549" i="3"/>
  <c r="H549" i="3" s="1"/>
  <c r="G206" i="5"/>
  <c r="I206" i="5" s="1"/>
  <c r="F629" i="3"/>
  <c r="H629" i="3" s="1"/>
  <c r="G235" i="5"/>
  <c r="I235" i="5" s="1"/>
  <c r="F806" i="3"/>
  <c r="H806" i="3" s="1"/>
  <c r="G47" i="5"/>
  <c r="I47" i="5" s="1"/>
  <c r="F987" i="3"/>
  <c r="H987" i="3" s="1"/>
  <c r="G81" i="5"/>
  <c r="F991" i="3"/>
  <c r="H991" i="3" s="1"/>
  <c r="G88" i="5"/>
  <c r="I88" i="5" s="1"/>
  <c r="F1051" i="3"/>
  <c r="H1051" i="3" s="1"/>
  <c r="F980" i="3"/>
  <c r="H980" i="3" s="1"/>
  <c r="F1103" i="3"/>
  <c r="H1103" i="3" s="1"/>
  <c r="F1107" i="3"/>
  <c r="H1107" i="3" s="1"/>
  <c r="F891" i="3"/>
  <c r="H891" i="3" s="1"/>
  <c r="F261" i="3"/>
  <c r="H261" i="3" s="1"/>
  <c r="G194" i="4"/>
  <c r="G75" i="4"/>
  <c r="G65" i="4"/>
  <c r="I65" i="4" s="1"/>
  <c r="G1045" i="4"/>
  <c r="I1045" i="4" s="1"/>
  <c r="G70" i="4"/>
  <c r="I985" i="10"/>
  <c r="F191" i="3"/>
  <c r="H191" i="3" s="1"/>
  <c r="F1125" i="3"/>
  <c r="H1125" i="3" s="1"/>
  <c r="G1072" i="4"/>
  <c r="I1072" i="4" s="1"/>
  <c r="G373" i="4"/>
  <c r="G124" i="4"/>
  <c r="I124" i="4" s="1"/>
  <c r="G1110" i="4"/>
  <c r="I1110" i="4" s="1"/>
  <c r="G947" i="4"/>
  <c r="I947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752" i="5" l="1"/>
  <c r="I752" i="5" s="1"/>
  <c r="I753" i="5"/>
  <c r="G744" i="5"/>
  <c r="I744" i="5" s="1"/>
  <c r="G338" i="5"/>
  <c r="I338" i="5" s="1"/>
  <c r="I339" i="5"/>
  <c r="G254" i="5"/>
  <c r="I254" i="5" s="1"/>
  <c r="I255" i="5"/>
  <c r="G723" i="5"/>
  <c r="I723" i="5" s="1"/>
  <c r="I727" i="5"/>
  <c r="G748" i="5"/>
  <c r="I748" i="5" s="1"/>
  <c r="I749" i="5"/>
  <c r="G44" i="5"/>
  <c r="I44" i="5" s="1"/>
  <c r="I45" i="5"/>
  <c r="G26" i="6"/>
  <c r="I27" i="6"/>
  <c r="G82" i="5"/>
  <c r="I82" i="5" s="1"/>
  <c r="I81" i="5"/>
  <c r="G824" i="5"/>
  <c r="I824" i="5" s="1"/>
  <c r="I821" i="5"/>
  <c r="G818" i="5"/>
  <c r="I818" i="5" s="1"/>
  <c r="I819" i="5"/>
  <c r="G919" i="15"/>
  <c r="G884" i="5"/>
  <c r="I884" i="5" s="1"/>
  <c r="I883" i="5"/>
  <c r="G350" i="5"/>
  <c r="I350" i="5" s="1"/>
  <c r="I351" i="5"/>
  <c r="H373" i="15"/>
  <c r="G190" i="5"/>
  <c r="I190" i="5" s="1"/>
  <c r="I191" i="5"/>
  <c r="G36" i="6"/>
  <c r="I37" i="6"/>
  <c r="G30" i="6"/>
  <c r="I31" i="6"/>
  <c r="G992" i="15"/>
  <c r="F659" i="3"/>
  <c r="H659" i="3" s="1"/>
  <c r="H660" i="3"/>
  <c r="F410" i="14"/>
  <c r="H456" i="3"/>
  <c r="F950" i="14"/>
  <c r="H1053" i="3"/>
  <c r="G192" i="5"/>
  <c r="I192" i="5" s="1"/>
  <c r="F372" i="14"/>
  <c r="G372" i="14" s="1"/>
  <c r="H416" i="3"/>
  <c r="F371" i="3"/>
  <c r="H371" i="3" s="1"/>
  <c r="H380" i="3"/>
  <c r="F426" i="14"/>
  <c r="G426" i="14" s="1"/>
  <c r="H475" i="3"/>
  <c r="G511" i="14"/>
  <c r="H562" i="3"/>
  <c r="F128" i="3"/>
  <c r="H128" i="3" s="1"/>
  <c r="H129" i="3"/>
  <c r="F575" i="3"/>
  <c r="H575" i="3" s="1"/>
  <c r="H576" i="3"/>
  <c r="F865" i="3"/>
  <c r="H865" i="3" s="1"/>
  <c r="H866" i="3"/>
  <c r="F196" i="3"/>
  <c r="H196" i="3" s="1"/>
  <c r="H197" i="3"/>
  <c r="F508" i="3"/>
  <c r="H508" i="3" s="1"/>
  <c r="H511" i="3"/>
  <c r="F12" i="3"/>
  <c r="F230" i="3"/>
  <c r="H230" i="3" s="1"/>
  <c r="H231" i="3"/>
  <c r="F159" i="3"/>
  <c r="H159" i="3" s="1"/>
  <c r="H166" i="3"/>
  <c r="E45" i="1"/>
  <c r="I70" i="4"/>
  <c r="I194" i="4"/>
  <c r="G490" i="4"/>
  <c r="I490" i="4" s="1"/>
  <c r="I491" i="4"/>
  <c r="G865" i="4"/>
  <c r="I865" i="4" s="1"/>
  <c r="I866" i="4"/>
  <c r="H44" i="15"/>
  <c r="I41" i="4"/>
  <c r="G660" i="4"/>
  <c r="I660" i="4" s="1"/>
  <c r="I661" i="4"/>
  <c r="G240" i="4"/>
  <c r="I240" i="4" s="1"/>
  <c r="I1292" i="4" s="1"/>
  <c r="I241" i="4"/>
  <c r="G956" i="4"/>
  <c r="I960" i="4"/>
  <c r="G50" i="4"/>
  <c r="I50" i="4" s="1"/>
  <c r="G115" i="15"/>
  <c r="I137" i="4"/>
  <c r="H658" i="15"/>
  <c r="I697" i="4"/>
  <c r="G797" i="4"/>
  <c r="I797" i="4" s="1"/>
  <c r="I801" i="4"/>
  <c r="G922" i="4"/>
  <c r="I922" i="4" s="1"/>
  <c r="I923" i="4"/>
  <c r="G575" i="15"/>
  <c r="H575" i="15" s="1"/>
  <c r="I614" i="4"/>
  <c r="G577" i="4"/>
  <c r="I577" i="4" s="1"/>
  <c r="I578" i="4"/>
  <c r="G933" i="4"/>
  <c r="I934" i="4"/>
  <c r="G1028" i="4"/>
  <c r="I1028" i="4" s="1"/>
  <c r="G1199" i="4"/>
  <c r="I1199" i="4" s="1"/>
  <c r="I1200" i="4"/>
  <c r="G1173" i="4"/>
  <c r="I1173" i="4" s="1"/>
  <c r="I1174" i="4"/>
  <c r="G892" i="4"/>
  <c r="I892" i="4" s="1"/>
  <c r="I1273" i="4" s="1"/>
  <c r="I896" i="4"/>
  <c r="G1284" i="4"/>
  <c r="I215" i="4"/>
  <c r="I1284" i="4" s="1"/>
  <c r="G1296" i="4"/>
  <c r="I141" i="4"/>
  <c r="I1296" i="4" s="1"/>
  <c r="G526" i="4"/>
  <c r="I526" i="4" s="1"/>
  <c r="I527" i="4"/>
  <c r="G441" i="4"/>
  <c r="I441" i="4" s="1"/>
  <c r="G1149" i="4"/>
  <c r="I1149" i="4" s="1"/>
  <c r="I1267" i="4"/>
  <c r="G372" i="4"/>
  <c r="I372" i="4" s="1"/>
  <c r="I373" i="4"/>
  <c r="I75" i="4"/>
  <c r="I1261" i="4"/>
  <c r="G655" i="15"/>
  <c r="H655" i="15" s="1"/>
  <c r="H654" i="15" s="1"/>
  <c r="I694" i="4"/>
  <c r="G578" i="15"/>
  <c r="H578" i="15" s="1"/>
  <c r="I617" i="4"/>
  <c r="G589" i="4"/>
  <c r="I589" i="4" s="1"/>
  <c r="I590" i="4"/>
  <c r="I223" i="4"/>
  <c r="G838" i="4"/>
  <c r="I838" i="4" s="1"/>
  <c r="I839" i="4"/>
  <c r="G821" i="4"/>
  <c r="I821" i="4" s="1"/>
  <c r="I822" i="4"/>
  <c r="G1297" i="4"/>
  <c r="I146" i="4"/>
  <c r="I1297" i="4" s="1"/>
  <c r="G1232" i="4"/>
  <c r="I1232" i="4" s="1"/>
  <c r="I1233" i="4"/>
  <c r="G31" i="4"/>
  <c r="I31" i="4" s="1"/>
  <c r="C96" i="1"/>
  <c r="G193" i="16"/>
  <c r="G1261" i="4"/>
  <c r="G389" i="10"/>
  <c r="G388" i="10" s="1"/>
  <c r="G988" i="10" s="1"/>
  <c r="G847" i="10"/>
  <c r="G303" i="15"/>
  <c r="F1122" i="3"/>
  <c r="H1122" i="3" s="1"/>
  <c r="G564" i="14"/>
  <c r="G978" i="10"/>
  <c r="G670" i="4"/>
  <c r="I670" i="4" s="1"/>
  <c r="G322" i="4"/>
  <c r="I322" i="4" s="1"/>
  <c r="G214" i="16"/>
  <c r="G28" i="10"/>
  <c r="G27" i="10" s="1"/>
  <c r="G1011" i="4"/>
  <c r="I1011" i="4" s="1"/>
  <c r="H557" i="15"/>
  <c r="H631" i="15"/>
  <c r="H794" i="16"/>
  <c r="H193" i="16"/>
  <c r="G490" i="14"/>
  <c r="F688" i="14"/>
  <c r="H780" i="16"/>
  <c r="D115" i="12"/>
  <c r="D114" i="12" s="1"/>
  <c r="D113" i="12" s="1"/>
  <c r="G779" i="4"/>
  <c r="I779" i="4" s="1"/>
  <c r="G596" i="4"/>
  <c r="I596" i="4" s="1"/>
  <c r="G1267" i="4"/>
  <c r="G278" i="10"/>
  <c r="G277" i="10" s="1"/>
  <c r="G1009" i="10"/>
  <c r="G506" i="10"/>
  <c r="G498" i="10" s="1"/>
  <c r="G784" i="10"/>
  <c r="G985" i="10" s="1"/>
  <c r="G20" i="5"/>
  <c r="I20" i="5" s="1"/>
  <c r="H64" i="15"/>
  <c r="G673" i="10"/>
  <c r="F271" i="14"/>
  <c r="G271" i="14" s="1"/>
  <c r="F296" i="3"/>
  <c r="C9" i="1"/>
  <c r="E9" i="1" s="1"/>
  <c r="G858" i="15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623" i="4"/>
  <c r="I623" i="4" s="1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32" i="4"/>
  <c r="I132" i="4" s="1"/>
  <c r="G741" i="14"/>
  <c r="H152" i="15"/>
  <c r="H151" i="15" s="1"/>
  <c r="G71" i="14"/>
  <c r="H240" i="16"/>
  <c r="H239" i="16" s="1"/>
  <c r="H214" i="16" s="1"/>
  <c r="H59" i="15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G214" i="4"/>
  <c r="I214" i="4" s="1"/>
  <c r="H391" i="16"/>
  <c r="H390" i="16" s="1"/>
  <c r="H389" i="16" s="1"/>
  <c r="H384" i="16" s="1"/>
  <c r="H383" i="16" s="1"/>
  <c r="H382" i="16" s="1"/>
  <c r="H381" i="16" s="1"/>
  <c r="G161" i="4"/>
  <c r="I161" i="4" s="1"/>
  <c r="H26" i="16"/>
  <c r="G594" i="15"/>
  <c r="G573" i="15" s="1"/>
  <c r="H594" i="15"/>
  <c r="G997" i="14"/>
  <c r="F997" i="14"/>
  <c r="F415" i="3"/>
  <c r="F179" i="3"/>
  <c r="G882" i="5"/>
  <c r="G352" i="5"/>
  <c r="I352" i="5" s="1"/>
  <c r="G561" i="5"/>
  <c r="I561" i="5" s="1"/>
  <c r="G1027" i="4"/>
  <c r="I1027" i="4" s="1"/>
  <c r="G1143" i="4"/>
  <c r="G99" i="16"/>
  <c r="G100" i="16"/>
  <c r="G525" i="4"/>
  <c r="I525" i="4" s="1"/>
  <c r="G713" i="16"/>
  <c r="G708" i="16" s="1"/>
  <c r="G707" i="16" s="1"/>
  <c r="G706" i="16" s="1"/>
  <c r="G713" i="4"/>
  <c r="I713" i="4" s="1"/>
  <c r="G270" i="4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G613" i="4"/>
  <c r="I613" i="4" s="1"/>
  <c r="H603" i="15"/>
  <c r="H602" i="15" s="1"/>
  <c r="H601" i="15" s="1"/>
  <c r="G602" i="15"/>
  <c r="G601" i="15" s="1"/>
  <c r="H682" i="15"/>
  <c r="H681" i="15" s="1"/>
  <c r="G681" i="15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8" i="12"/>
  <c r="C75" i="12" s="1"/>
  <c r="C74" i="12" s="1"/>
  <c r="C151" i="12" s="1"/>
  <c r="C139" i="12"/>
  <c r="D138" i="12"/>
  <c r="D139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916" i="5"/>
  <c r="I916" i="5" s="1"/>
  <c r="H115" i="15"/>
  <c r="F1100" i="3"/>
  <c r="G1221" i="4"/>
  <c r="G453" i="5"/>
  <c r="I453" i="5" s="1"/>
  <c r="G451" i="5"/>
  <c r="I451" i="5" s="1"/>
  <c r="G561" i="4"/>
  <c r="F826" i="3"/>
  <c r="G693" i="4"/>
  <c r="I693" i="4" s="1"/>
  <c r="F88" i="3"/>
  <c r="H88" i="3" s="1"/>
  <c r="F820" i="3"/>
  <c r="H820" i="3" s="1"/>
  <c r="F605" i="3"/>
  <c r="H605" i="3" s="1"/>
  <c r="G110" i="5"/>
  <c r="G189" i="5"/>
  <c r="G166" i="5"/>
  <c r="I166" i="5" s="1"/>
  <c r="G468" i="5"/>
  <c r="I468" i="5" s="1"/>
  <c r="G157" i="5"/>
  <c r="I157" i="5" s="1"/>
  <c r="G155" i="5"/>
  <c r="G834" i="4"/>
  <c r="G1075" i="4"/>
  <c r="I1075" i="4" s="1"/>
  <c r="G312" i="4"/>
  <c r="I312" i="4" s="1"/>
  <c r="H1157" i="15"/>
  <c r="G1157" i="15"/>
  <c r="H1158" i="15"/>
  <c r="G1158" i="15"/>
  <c r="G1106" i="4"/>
  <c r="I1106" i="4" s="1"/>
  <c r="G300" i="4"/>
  <c r="I300" i="4" s="1"/>
  <c r="G180" i="4"/>
  <c r="I180" i="4" s="1"/>
  <c r="G476" i="4"/>
  <c r="I476" i="4" s="1"/>
  <c r="G916" i="4"/>
  <c r="I916" i="4" s="1"/>
  <c r="G496" i="4"/>
  <c r="I496" i="4" s="1"/>
  <c r="G199" i="4"/>
  <c r="I199" i="4" s="1"/>
  <c r="I1282" i="4" s="1"/>
  <c r="G647" i="4"/>
  <c r="I647" i="4" s="1"/>
  <c r="I1288" i="4" s="1"/>
  <c r="G1190" i="4"/>
  <c r="I1190" i="4" s="1"/>
  <c r="G343" i="4"/>
  <c r="I343" i="4" s="1"/>
  <c r="G546" i="4"/>
  <c r="I546" i="4" s="1"/>
  <c r="G233" i="4"/>
  <c r="I233" i="4" s="1"/>
  <c r="G946" i="4"/>
  <c r="I946" i="4" s="1"/>
  <c r="G222" i="4"/>
  <c r="I222" i="4" s="1"/>
  <c r="I1270" i="4" s="1"/>
  <c r="G123" i="4"/>
  <c r="I123" i="4" s="1"/>
  <c r="G1071" i="4"/>
  <c r="I1071" i="4" s="1"/>
  <c r="G946" i="15"/>
  <c r="G364" i="4"/>
  <c r="I364" i="4" s="1"/>
  <c r="G350" i="4"/>
  <c r="I350" i="4" s="1"/>
  <c r="G193" i="4"/>
  <c r="G984" i="4"/>
  <c r="I984" i="4" s="1"/>
  <c r="G885" i="4"/>
  <c r="I885" i="4" s="1"/>
  <c r="G1145" i="15"/>
  <c r="G875" i="4"/>
  <c r="I875" i="4" s="1"/>
  <c r="G775" i="4"/>
  <c r="I775" i="4" s="1"/>
  <c r="G397" i="4"/>
  <c r="G720" i="4"/>
  <c r="I720" i="4" s="1"/>
  <c r="G455" i="4"/>
  <c r="I455" i="4" s="1"/>
  <c r="G706" i="4"/>
  <c r="I706" i="4" s="1"/>
  <c r="F370" i="3"/>
  <c r="H370" i="3" s="1"/>
  <c r="G168" i="4"/>
  <c r="I168" i="4" s="1"/>
  <c r="G209" i="4"/>
  <c r="I209" i="4" s="1"/>
  <c r="G486" i="4"/>
  <c r="I486" i="4" s="1"/>
  <c r="G554" i="4"/>
  <c r="I554" i="4" s="1"/>
  <c r="G12" i="4"/>
  <c r="I12" i="4" s="1"/>
  <c r="G1063" i="4"/>
  <c r="I1063" i="4" s="1"/>
  <c r="H937" i="15"/>
  <c r="G762" i="4"/>
  <c r="I762" i="4" s="1"/>
  <c r="G767" i="4"/>
  <c r="I767" i="4" s="1"/>
  <c r="G435" i="4"/>
  <c r="I435" i="4" s="1"/>
  <c r="G1164" i="4"/>
  <c r="I1164" i="4" s="1"/>
  <c r="G468" i="4"/>
  <c r="I468" i="4" s="1"/>
  <c r="G1067" i="4"/>
  <c r="I1067" i="4" s="1"/>
  <c r="G99" i="4"/>
  <c r="I99" i="4" s="1"/>
  <c r="G1120" i="4"/>
  <c r="I1120" i="4" s="1"/>
  <c r="G976" i="4"/>
  <c r="I976" i="4" s="1"/>
  <c r="G812" i="4"/>
  <c r="I812" i="4" s="1"/>
  <c r="G972" i="5"/>
  <c r="I972" i="5" s="1"/>
  <c r="G521" i="5"/>
  <c r="G989" i="5"/>
  <c r="I989" i="5" s="1"/>
  <c r="G70" i="5"/>
  <c r="I70" i="5" s="1"/>
  <c r="G1025" i="5"/>
  <c r="I1025" i="5" s="1"/>
  <c r="G369" i="5"/>
  <c r="G319" i="5"/>
  <c r="I319" i="5" s="1"/>
  <c r="G551" i="5"/>
  <c r="I551" i="5" s="1"/>
  <c r="G80" i="5"/>
  <c r="I80" i="5" s="1"/>
  <c r="G270" i="5"/>
  <c r="I270" i="5" s="1"/>
  <c r="G438" i="5"/>
  <c r="G525" i="5"/>
  <c r="G153" i="4"/>
  <c r="I153" i="4" s="1"/>
  <c r="G1009" i="5"/>
  <c r="I1009" i="5" s="1"/>
  <c r="G295" i="5"/>
  <c r="I295" i="5" s="1"/>
  <c r="G907" i="5"/>
  <c r="I907" i="5" s="1"/>
  <c r="G1032" i="5"/>
  <c r="G266" i="5"/>
  <c r="I266" i="5" s="1"/>
  <c r="G446" i="5"/>
  <c r="I446" i="5" s="1"/>
  <c r="G105" i="5"/>
  <c r="I105" i="5" s="1"/>
  <c r="G96" i="5"/>
  <c r="I96" i="5" s="1"/>
  <c r="G285" i="5"/>
  <c r="I285" i="5" s="1"/>
  <c r="G349" i="5"/>
  <c r="I349" i="5" s="1"/>
  <c r="G722" i="5"/>
  <c r="I722" i="5" s="1"/>
  <c r="G967" i="5"/>
  <c r="I967" i="5" s="1"/>
  <c r="G1018" i="5"/>
  <c r="I1018" i="5" s="1"/>
  <c r="F45" i="3"/>
  <c r="H45" i="3" s="1"/>
  <c r="F78" i="3"/>
  <c r="H78" i="3" s="1"/>
  <c r="F1031" i="3"/>
  <c r="H1031" i="3" s="1"/>
  <c r="G289" i="5"/>
  <c r="I289" i="5" s="1"/>
  <c r="G323" i="5"/>
  <c r="I323" i="5" s="1"/>
  <c r="G331" i="5"/>
  <c r="I331" i="5" s="1"/>
  <c r="G364" i="5"/>
  <c r="G485" i="5"/>
  <c r="I485" i="5" s="1"/>
  <c r="G531" i="5"/>
  <c r="I531" i="5" s="1"/>
  <c r="G720" i="5"/>
  <c r="I720" i="5" s="1"/>
  <c r="G825" i="5"/>
  <c r="I825" i="5" s="1"/>
  <c r="G507" i="5"/>
  <c r="I507" i="5" s="1"/>
  <c r="G558" i="5"/>
  <c r="I558" i="5" s="1"/>
  <c r="G1001" i="5"/>
  <c r="I1001" i="5" s="1"/>
  <c r="G951" i="5"/>
  <c r="I951" i="5" s="1"/>
  <c r="G995" i="5"/>
  <c r="I995" i="5" s="1"/>
  <c r="G982" i="5"/>
  <c r="I982" i="5" s="1"/>
  <c r="G962" i="5"/>
  <c r="I962" i="5" s="1"/>
  <c r="G894" i="5"/>
  <c r="I894" i="5" s="1"/>
  <c r="G765" i="5"/>
  <c r="I765" i="5" s="1"/>
  <c r="G63" i="5"/>
  <c r="I63" i="5" s="1"/>
  <c r="F890" i="3"/>
  <c r="H890" i="3" s="1"/>
  <c r="F979" i="3"/>
  <c r="H979" i="3" s="1"/>
  <c r="F805" i="3"/>
  <c r="H805" i="3" s="1"/>
  <c r="F655" i="3"/>
  <c r="H655" i="3" s="1"/>
  <c r="F411" i="3"/>
  <c r="H411" i="3" s="1"/>
  <c r="F712" i="3"/>
  <c r="H712" i="3" s="1"/>
  <c r="F764" i="3"/>
  <c r="H764" i="3" s="1"/>
  <c r="F682" i="14"/>
  <c r="G682" i="14" s="1"/>
  <c r="F639" i="3"/>
  <c r="H639" i="3" s="1"/>
  <c r="F589" i="14"/>
  <c r="F169" i="3"/>
  <c r="F257" i="3"/>
  <c r="H257" i="3" s="1"/>
  <c r="F219" i="3"/>
  <c r="H219" i="3" s="1"/>
  <c r="F780" i="3"/>
  <c r="H780" i="3" s="1"/>
  <c r="F731" i="3"/>
  <c r="H731" i="3" s="1"/>
  <c r="F470" i="3"/>
  <c r="H470" i="3" s="1"/>
  <c r="F453" i="3"/>
  <c r="H453" i="3" s="1"/>
  <c r="F843" i="3"/>
  <c r="H843" i="3" s="1"/>
  <c r="F1013" i="3"/>
  <c r="H1013" i="3" s="1"/>
  <c r="F986" i="3"/>
  <c r="H986" i="3" s="1"/>
  <c r="F628" i="3"/>
  <c r="H628" i="3" s="1"/>
  <c r="F554" i="3"/>
  <c r="H554" i="3" s="1"/>
  <c r="F634" i="3"/>
  <c r="H634" i="3" s="1"/>
  <c r="F407" i="3"/>
  <c r="H407" i="3" s="1"/>
  <c r="F419" i="3"/>
  <c r="H419" i="3" s="1"/>
  <c r="F548" i="3"/>
  <c r="H548" i="3" s="1"/>
  <c r="F662" i="3"/>
  <c r="H662" i="3" s="1"/>
  <c r="F260" i="3"/>
  <c r="H260" i="3" s="1"/>
  <c r="F276" i="3"/>
  <c r="H276" i="3" s="1"/>
  <c r="F777" i="3"/>
  <c r="H777" i="3" s="1"/>
  <c r="F839" i="3"/>
  <c r="H839" i="3" s="1"/>
  <c r="F1136" i="3"/>
  <c r="H1136" i="3" s="1"/>
  <c r="F363" i="3"/>
  <c r="H363" i="3" s="1"/>
  <c r="F783" i="3"/>
  <c r="H783" i="3" s="1"/>
  <c r="G267" i="14"/>
  <c r="G262" i="14" s="1"/>
  <c r="G261" i="14" s="1"/>
  <c r="F493" i="3"/>
  <c r="F83" i="3"/>
  <c r="F990" i="3"/>
  <c r="F585" i="3"/>
  <c r="H585" i="3" s="1"/>
  <c r="F1083" i="3"/>
  <c r="H1083" i="3" s="1"/>
  <c r="F962" i="3"/>
  <c r="H962" i="3" s="1"/>
  <c r="F572" i="3"/>
  <c r="H572" i="3" s="1"/>
  <c r="F517" i="3"/>
  <c r="H517" i="3" s="1"/>
  <c r="F306" i="3"/>
  <c r="H306" i="3" s="1"/>
  <c r="F233" i="3"/>
  <c r="H233" i="3" s="1"/>
  <c r="F1089" i="3"/>
  <c r="F976" i="3"/>
  <c r="H976" i="3" s="1"/>
  <c r="F817" i="3"/>
  <c r="H817" i="3" s="1"/>
  <c r="F642" i="3"/>
  <c r="H642" i="3" s="1"/>
  <c r="F648" i="3"/>
  <c r="H648" i="3" s="1"/>
  <c r="F286" i="3"/>
  <c r="H286" i="3" s="1"/>
  <c r="F54" i="3"/>
  <c r="H54" i="3" s="1"/>
  <c r="F487" i="3"/>
  <c r="H487" i="3" s="1"/>
  <c r="F34" i="3"/>
  <c r="H34" i="3" s="1"/>
  <c r="F652" i="3"/>
  <c r="H652" i="3" s="1"/>
  <c r="F355" i="3"/>
  <c r="H355" i="3" s="1"/>
  <c r="F323" i="14"/>
  <c r="G323" i="14" s="1"/>
  <c r="F117" i="3"/>
  <c r="F949" i="3"/>
  <c r="H949" i="3" s="1"/>
  <c r="F734" i="3"/>
  <c r="H734" i="3" s="1"/>
  <c r="F360" i="3"/>
  <c r="H360" i="3" s="1"/>
  <c r="F1041" i="3"/>
  <c r="H1041" i="3" s="1"/>
  <c r="F720" i="3"/>
  <c r="H720" i="3" s="1"/>
  <c r="F450" i="3"/>
  <c r="H450" i="3" s="1"/>
  <c r="F934" i="3"/>
  <c r="H934" i="3" s="1"/>
  <c r="F995" i="3"/>
  <c r="H995" i="3" s="1"/>
  <c r="F707" i="3"/>
  <c r="H707" i="3" s="1"/>
  <c r="F1113" i="3"/>
  <c r="H1113" i="3" s="1"/>
  <c r="F669" i="3"/>
  <c r="H669" i="3" s="1"/>
  <c r="F746" i="3"/>
  <c r="F559" i="3"/>
  <c r="H559" i="3" s="1"/>
  <c r="G509" i="14"/>
  <c r="G649" i="5"/>
  <c r="I649" i="5" s="1"/>
  <c r="G877" i="5"/>
  <c r="I877" i="5" s="1"/>
  <c r="G875" i="5"/>
  <c r="I875" i="5" s="1"/>
  <c r="G805" i="5"/>
  <c r="I805" i="5" s="1"/>
  <c r="G803" i="5"/>
  <c r="I803" i="5" s="1"/>
  <c r="G870" i="5"/>
  <c r="I870" i="5" s="1"/>
  <c r="G868" i="5"/>
  <c r="I868" i="5" s="1"/>
  <c r="G891" i="5"/>
  <c r="I891" i="5" s="1"/>
  <c r="G889" i="5"/>
  <c r="I889" i="5" s="1"/>
  <c r="G576" i="4"/>
  <c r="I576" i="4" s="1"/>
  <c r="G855" i="5"/>
  <c r="I855" i="5" s="1"/>
  <c r="G853" i="5"/>
  <c r="I853" i="5" s="1"/>
  <c r="G584" i="5"/>
  <c r="I584" i="5" s="1"/>
  <c r="G596" i="5"/>
  <c r="I596" i="5" s="1"/>
  <c r="G467" i="5"/>
  <c r="I467" i="5" s="1"/>
  <c r="G354" i="5"/>
  <c r="I354" i="5" s="1"/>
  <c r="G356" i="5"/>
  <c r="I356" i="5" s="1"/>
  <c r="G342" i="5"/>
  <c r="I342" i="5" s="1"/>
  <c r="G259" i="5"/>
  <c r="I259" i="5" s="1"/>
  <c r="G261" i="5"/>
  <c r="I261" i="5" s="1"/>
  <c r="G242" i="5"/>
  <c r="I242" i="5" s="1"/>
  <c r="G244" i="5"/>
  <c r="I244" i="5" s="1"/>
  <c r="G234" i="5"/>
  <c r="I234" i="5" s="1"/>
  <c r="G236" i="5"/>
  <c r="I236" i="5" s="1"/>
  <c r="G205" i="5"/>
  <c r="I205" i="5" s="1"/>
  <c r="G207" i="5"/>
  <c r="I207" i="5" s="1"/>
  <c r="G213" i="5"/>
  <c r="I213" i="5" s="1"/>
  <c r="G215" i="5"/>
  <c r="I215" i="5" s="1"/>
  <c r="G87" i="5"/>
  <c r="I87" i="5" s="1"/>
  <c r="G89" i="5"/>
  <c r="I89" i="5" s="1"/>
  <c r="G46" i="5"/>
  <c r="I46" i="5" s="1"/>
  <c r="G48" i="5"/>
  <c r="I48" i="5" s="1"/>
  <c r="G900" i="5"/>
  <c r="I900" i="5" s="1"/>
  <c r="G32" i="5"/>
  <c r="I32" i="5" s="1"/>
  <c r="F190" i="3"/>
  <c r="H190" i="3" s="1"/>
  <c r="G994" i="4"/>
  <c r="I994" i="4" s="1"/>
  <c r="G989" i="4"/>
  <c r="I989" i="4" s="1"/>
  <c r="I1279" i="4" s="1"/>
  <c r="I988" i="10"/>
  <c r="I989" i="10"/>
  <c r="I987" i="10"/>
  <c r="G534" i="11"/>
  <c r="G1031" i="5" l="1"/>
  <c r="I1032" i="5"/>
  <c r="G109" i="5"/>
  <c r="I109" i="5" s="1"/>
  <c r="I110" i="5"/>
  <c r="G528" i="5"/>
  <c r="I528" i="5" s="1"/>
  <c r="I525" i="5"/>
  <c r="G25" i="6"/>
  <c r="I26" i="6"/>
  <c r="G368" i="5"/>
  <c r="I368" i="5" s="1"/>
  <c r="I369" i="5"/>
  <c r="G524" i="5"/>
  <c r="I524" i="5" s="1"/>
  <c r="I521" i="5"/>
  <c r="G154" i="5"/>
  <c r="I154" i="5" s="1"/>
  <c r="I155" i="5"/>
  <c r="G188" i="5"/>
  <c r="I188" i="5" s="1"/>
  <c r="I189" i="5"/>
  <c r="G1292" i="4"/>
  <c r="G881" i="5"/>
  <c r="I881" i="5" s="1"/>
  <c r="I882" i="5"/>
  <c r="G29" i="6"/>
  <c r="I29" i="6" s="1"/>
  <c r="I30" i="6"/>
  <c r="G359" i="5"/>
  <c r="I359" i="5" s="1"/>
  <c r="I364" i="5"/>
  <c r="G654" i="15"/>
  <c r="G739" i="5"/>
  <c r="G35" i="6"/>
  <c r="I35" i="6" s="1"/>
  <c r="I36" i="6"/>
  <c r="G433" i="5"/>
  <c r="I433" i="5" s="1"/>
  <c r="I438" i="5"/>
  <c r="G907" i="15"/>
  <c r="G1122" i="15"/>
  <c r="G737" i="5"/>
  <c r="I737" i="5" s="1"/>
  <c r="F228" i="3"/>
  <c r="H228" i="3" s="1"/>
  <c r="F1099" i="3"/>
  <c r="H1100" i="3"/>
  <c r="F414" i="3"/>
  <c r="H414" i="3" s="1"/>
  <c r="H415" i="3"/>
  <c r="F229" i="3"/>
  <c r="H229" i="3" s="1"/>
  <c r="F11" i="3"/>
  <c r="H12" i="3"/>
  <c r="F66" i="14"/>
  <c r="F57" i="14" s="1"/>
  <c r="H83" i="3"/>
  <c r="F492" i="3"/>
  <c r="H492" i="3" s="1"/>
  <c r="H493" i="3"/>
  <c r="F742" i="3"/>
  <c r="H742" i="3" s="1"/>
  <c r="H746" i="3"/>
  <c r="F116" i="3"/>
  <c r="H116" i="3" s="1"/>
  <c r="H117" i="3"/>
  <c r="F1088" i="3"/>
  <c r="H1088" i="3" s="1"/>
  <c r="H1089" i="3"/>
  <c r="F989" i="3"/>
  <c r="H989" i="3" s="1"/>
  <c r="H990" i="3"/>
  <c r="F856" i="3"/>
  <c r="H856" i="3" s="1"/>
  <c r="F168" i="3"/>
  <c r="H168" i="3" s="1"/>
  <c r="H169" i="3"/>
  <c r="F825" i="3"/>
  <c r="H825" i="3" s="1"/>
  <c r="H826" i="3"/>
  <c r="F178" i="3"/>
  <c r="H178" i="3" s="1"/>
  <c r="H179" i="3"/>
  <c r="F295" i="3"/>
  <c r="H295" i="3" s="1"/>
  <c r="H296" i="3"/>
  <c r="C95" i="1"/>
  <c r="C188" i="1" s="1"/>
  <c r="G833" i="4"/>
  <c r="I833" i="4" s="1"/>
  <c r="I834" i="4"/>
  <c r="G560" i="4"/>
  <c r="I560" i="4" s="1"/>
  <c r="I561" i="4"/>
  <c r="G269" i="4"/>
  <c r="I269" i="4" s="1"/>
  <c r="I270" i="4"/>
  <c r="G1142" i="4"/>
  <c r="I1142" i="4" s="1"/>
  <c r="I1294" i="4" s="1"/>
  <c r="I1143" i="4"/>
  <c r="G932" i="4"/>
  <c r="I932" i="4" s="1"/>
  <c r="I933" i="4"/>
  <c r="G1258" i="4"/>
  <c r="I193" i="4"/>
  <c r="I1258" i="4" s="1"/>
  <c r="I1253" i="4"/>
  <c r="G1273" i="4"/>
  <c r="G396" i="4"/>
  <c r="I396" i="4" s="1"/>
  <c r="I397" i="4"/>
  <c r="G1220" i="4"/>
  <c r="I1220" i="4" s="1"/>
  <c r="I1221" i="4"/>
  <c r="I1264" i="4"/>
  <c r="G955" i="4"/>
  <c r="I955" i="4" s="1"/>
  <c r="I956" i="4"/>
  <c r="F63" i="3"/>
  <c r="H63" i="3" s="1"/>
  <c r="F44" i="3"/>
  <c r="H44" i="3" s="1"/>
  <c r="G1253" i="4"/>
  <c r="G1247" i="4"/>
  <c r="G1264" i="4"/>
  <c r="G220" i="10"/>
  <c r="G692" i="4"/>
  <c r="I692" i="4" s="1"/>
  <c r="G1288" i="4"/>
  <c r="G986" i="10"/>
  <c r="G981" i="10"/>
  <c r="F615" i="3"/>
  <c r="H615" i="3" s="1"/>
  <c r="G654" i="16"/>
  <c r="G656" i="16"/>
  <c r="G655" i="16" s="1"/>
  <c r="H243" i="16"/>
  <c r="H192" i="16" s="1"/>
  <c r="H191" i="16" s="1"/>
  <c r="F354" i="3"/>
  <c r="H354" i="3" s="1"/>
  <c r="H303" i="15"/>
  <c r="G688" i="14"/>
  <c r="D75" i="12"/>
  <c r="D74" i="12" s="1"/>
  <c r="G987" i="10"/>
  <c r="G864" i="4"/>
  <c r="F773" i="3"/>
  <c r="H773" i="3" s="1"/>
  <c r="F541" i="3"/>
  <c r="F724" i="3"/>
  <c r="H724" i="3" s="1"/>
  <c r="G748" i="10"/>
  <c r="H50" i="15"/>
  <c r="G30" i="4"/>
  <c r="H858" i="15"/>
  <c r="H854" i="15" s="1"/>
  <c r="H853" i="15" s="1"/>
  <c r="H852" i="15" s="1"/>
  <c r="H851" i="15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42" i="4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63" i="4"/>
  <c r="I363" i="4" s="1"/>
  <c r="H930" i="16"/>
  <c r="G221" i="4"/>
  <c r="G1270" i="4"/>
  <c r="H510" i="16"/>
  <c r="H509" i="16" s="1"/>
  <c r="H508" i="16" s="1"/>
  <c r="H507" i="16" s="1"/>
  <c r="H506" i="16" s="1"/>
  <c r="H505" i="16" s="1"/>
  <c r="G160" i="4"/>
  <c r="G179" i="4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99" i="4"/>
  <c r="I299" i="4" s="1"/>
  <c r="H1128" i="15"/>
  <c r="G1128" i="15"/>
  <c r="H573" i="15"/>
  <c r="H495" i="15"/>
  <c r="H494" i="15" s="1"/>
  <c r="G495" i="15"/>
  <c r="G494" i="15" s="1"/>
  <c r="H392" i="16"/>
  <c r="G192" i="4"/>
  <c r="G612" i="4"/>
  <c r="I612" i="4" s="1"/>
  <c r="H706" i="16"/>
  <c r="F371" i="14"/>
  <c r="F370" i="14" s="1"/>
  <c r="F41" i="14"/>
  <c r="H785" i="15"/>
  <c r="F155" i="3"/>
  <c r="H155" i="3" s="1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3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1010" i="4"/>
  <c r="G450" i="5"/>
  <c r="G921" i="4"/>
  <c r="I921" i="4" s="1"/>
  <c r="G915" i="5"/>
  <c r="G265" i="5"/>
  <c r="I265" i="5" s="1"/>
  <c r="G648" i="5"/>
  <c r="I648" i="5" s="1"/>
  <c r="G98" i="4"/>
  <c r="I98" i="4" s="1"/>
  <c r="G792" i="4"/>
  <c r="I792" i="4" s="1"/>
  <c r="G208" i="4"/>
  <c r="I208" i="4" s="1"/>
  <c r="G1062" i="4"/>
  <c r="G232" i="4"/>
  <c r="I232" i="4" s="1"/>
  <c r="G454" i="4"/>
  <c r="I454" i="4" s="1"/>
  <c r="G268" i="4"/>
  <c r="I268" i="4" s="1"/>
  <c r="H1140" i="15"/>
  <c r="G1140" i="15"/>
  <c r="G1119" i="4"/>
  <c r="I1119" i="4" s="1"/>
  <c r="G467" i="4"/>
  <c r="I467" i="4" s="1"/>
  <c r="G1163" i="4"/>
  <c r="I1163" i="4" s="1"/>
  <c r="G11" i="4"/>
  <c r="I11" i="4" s="1"/>
  <c r="G1231" i="4"/>
  <c r="I1231" i="4" s="1"/>
  <c r="G524" i="4"/>
  <c r="I524" i="4" s="1"/>
  <c r="G122" i="4"/>
  <c r="I122" i="4" s="1"/>
  <c r="G945" i="4"/>
  <c r="G545" i="4"/>
  <c r="I545" i="4" s="1"/>
  <c r="G1189" i="4"/>
  <c r="I1189" i="4" s="1"/>
  <c r="G1282" i="4"/>
  <c r="G915" i="4"/>
  <c r="G1198" i="4"/>
  <c r="I1198" i="4" s="1"/>
  <c r="G588" i="4"/>
  <c r="I588" i="4" s="1"/>
  <c r="G559" i="4"/>
  <c r="I559" i="4" s="1"/>
  <c r="G1148" i="4"/>
  <c r="I1148" i="4" s="1"/>
  <c r="G553" i="4"/>
  <c r="I553" i="4" s="1"/>
  <c r="I1295" i="4" s="1"/>
  <c r="G983" i="4"/>
  <c r="I983" i="4" s="1"/>
  <c r="G774" i="4"/>
  <c r="I774" i="4" s="1"/>
  <c r="G475" i="4"/>
  <c r="I475" i="4" s="1"/>
  <c r="G1105" i="4"/>
  <c r="I1105" i="4" s="1"/>
  <c r="G820" i="4"/>
  <c r="I820" i="4" s="1"/>
  <c r="G1294" i="4"/>
  <c r="G659" i="4"/>
  <c r="I659" i="4" s="1"/>
  <c r="G893" i="5"/>
  <c r="G575" i="4"/>
  <c r="I575" i="4" s="1"/>
  <c r="G975" i="4"/>
  <c r="I975" i="4" s="1"/>
  <c r="G811" i="4"/>
  <c r="I811" i="4" s="1"/>
  <c r="G318" i="5"/>
  <c r="I318" i="5" s="1"/>
  <c r="G813" i="5"/>
  <c r="G485" i="4"/>
  <c r="I485" i="4" s="1"/>
  <c r="G899" i="5"/>
  <c r="I899" i="5" s="1"/>
  <c r="G212" i="5"/>
  <c r="I212" i="5" s="1"/>
  <c r="G233" i="5"/>
  <c r="I233" i="5" s="1"/>
  <c r="G258" i="5"/>
  <c r="G583" i="5"/>
  <c r="I583" i="5" s="1"/>
  <c r="G1000" i="5"/>
  <c r="I1000" i="5" s="1"/>
  <c r="G475" i="5"/>
  <c r="I475" i="5" s="1"/>
  <c r="G988" i="5"/>
  <c r="I988" i="5" s="1"/>
  <c r="G337" i="5"/>
  <c r="I337" i="5" s="1"/>
  <c r="G867" i="5"/>
  <c r="I867" i="5" s="1"/>
  <c r="G874" i="5"/>
  <c r="I874" i="5" s="1"/>
  <c r="G961" i="5"/>
  <c r="I961" i="5" s="1"/>
  <c r="G104" i="5"/>
  <c r="I104" i="5" s="1"/>
  <c r="G906" i="5"/>
  <c r="I906" i="5" s="1"/>
  <c r="G353" i="5"/>
  <c r="G595" i="5"/>
  <c r="I595" i="5" s="1"/>
  <c r="G852" i="5"/>
  <c r="I852" i="5" s="1"/>
  <c r="G888" i="5"/>
  <c r="I888" i="5" s="1"/>
  <c r="G796" i="5"/>
  <c r="I796" i="5" s="1"/>
  <c r="G1017" i="5"/>
  <c r="I1017" i="5" s="1"/>
  <c r="G721" i="5"/>
  <c r="I721" i="5" s="1"/>
  <c r="G95" i="5"/>
  <c r="I95" i="5" s="1"/>
  <c r="G294" i="5"/>
  <c r="I294" i="5" s="1"/>
  <c r="G152" i="4"/>
  <c r="I152" i="4" s="1"/>
  <c r="G764" i="5"/>
  <c r="G998" i="5"/>
  <c r="I998" i="5" s="1"/>
  <c r="G994" i="5"/>
  <c r="I994" i="5" s="1"/>
  <c r="G506" i="5"/>
  <c r="I506" i="5" s="1"/>
  <c r="G79" i="5"/>
  <c r="I79" i="5" s="1"/>
  <c r="G1024" i="5"/>
  <c r="I1024" i="5" s="1"/>
  <c r="G19" i="5"/>
  <c r="I19" i="5" s="1"/>
  <c r="G358" i="5"/>
  <c r="I358" i="5" s="1"/>
  <c r="G1008" i="5"/>
  <c r="I1008" i="5" s="1"/>
  <c r="G69" i="5"/>
  <c r="I69" i="5" s="1"/>
  <c r="G86" i="5"/>
  <c r="I86" i="5" s="1"/>
  <c r="G204" i="5"/>
  <c r="I204" i="5" s="1"/>
  <c r="G241" i="5"/>
  <c r="I241" i="5" s="1"/>
  <c r="G280" i="5"/>
  <c r="I280" i="5" s="1"/>
  <c r="G516" i="5"/>
  <c r="I516" i="5" s="1"/>
  <c r="G62" i="5"/>
  <c r="I62" i="5" s="1"/>
  <c r="G981" i="5"/>
  <c r="I981" i="5" s="1"/>
  <c r="G950" i="5"/>
  <c r="I950" i="5" s="1"/>
  <c r="G557" i="5"/>
  <c r="I557" i="5" s="1"/>
  <c r="G880" i="5"/>
  <c r="I880" i="5" s="1"/>
  <c r="G530" i="5"/>
  <c r="I530" i="5" s="1"/>
  <c r="G357" i="5"/>
  <c r="I357" i="5" s="1"/>
  <c r="G153" i="5"/>
  <c r="I153" i="5" s="1"/>
  <c r="G701" i="5"/>
  <c r="I701" i="5" s="1"/>
  <c r="G546" i="5"/>
  <c r="I546" i="5" s="1"/>
  <c r="F1012" i="3"/>
  <c r="H1012" i="3" s="1"/>
  <c r="F507" i="3"/>
  <c r="H507" i="3" s="1"/>
  <c r="F763" i="3"/>
  <c r="H763" i="3" s="1"/>
  <c r="F1112" i="3"/>
  <c r="H1112" i="3" s="1"/>
  <c r="F33" i="3"/>
  <c r="H33" i="3" s="1"/>
  <c r="F816" i="3"/>
  <c r="H816" i="3" s="1"/>
  <c r="F305" i="3"/>
  <c r="H305" i="3" s="1"/>
  <c r="F1082" i="3"/>
  <c r="H1082" i="3" s="1"/>
  <c r="F1135" i="3"/>
  <c r="H1135" i="3" s="1"/>
  <c r="F658" i="3"/>
  <c r="H658" i="3" s="1"/>
  <c r="F418" i="3"/>
  <c r="H418" i="3" s="1"/>
  <c r="F842" i="3"/>
  <c r="H842" i="3" s="1"/>
  <c r="F410" i="3"/>
  <c r="H410" i="3" s="1"/>
  <c r="F804" i="3"/>
  <c r="H804" i="3" s="1"/>
  <c r="F889" i="3"/>
  <c r="H889" i="3" s="1"/>
  <c r="F449" i="3"/>
  <c r="H449" i="3" s="1"/>
  <c r="F588" i="14"/>
  <c r="F638" i="3"/>
  <c r="H638" i="3" s="1"/>
  <c r="F189" i="3"/>
  <c r="H189" i="3" s="1"/>
  <c r="F463" i="3"/>
  <c r="H463" i="3" s="1"/>
  <c r="F253" i="3"/>
  <c r="H253" i="3" s="1"/>
  <c r="F568" i="3"/>
  <c r="H568" i="3" s="1"/>
  <c r="F558" i="3"/>
  <c r="H558" i="3" s="1"/>
  <c r="F665" i="3"/>
  <c r="H665" i="3" s="1"/>
  <c r="F674" i="3"/>
  <c r="H674" i="3" s="1"/>
  <c r="F948" i="3"/>
  <c r="H948" i="3" s="1"/>
  <c r="F99" i="14"/>
  <c r="F486" i="3"/>
  <c r="H486" i="3" s="1"/>
  <c r="F485" i="3"/>
  <c r="H485" i="3" s="1"/>
  <c r="F285" i="3"/>
  <c r="H285" i="3" s="1"/>
  <c r="F975" i="3"/>
  <c r="H975" i="3" s="1"/>
  <c r="F516" i="3"/>
  <c r="H516" i="3" s="1"/>
  <c r="F961" i="3"/>
  <c r="H961" i="3" s="1"/>
  <c r="F838" i="3"/>
  <c r="H838" i="3" s="1"/>
  <c r="F272" i="3"/>
  <c r="H272" i="3" s="1"/>
  <c r="F406" i="3"/>
  <c r="H406" i="3" s="1"/>
  <c r="F985" i="3"/>
  <c r="H985" i="3" s="1"/>
  <c r="F651" i="3"/>
  <c r="H651" i="3" s="1"/>
  <c r="G31" i="5"/>
  <c r="I31" i="5" s="1"/>
  <c r="G335" i="5"/>
  <c r="I335" i="5" s="1"/>
  <c r="G11" i="5"/>
  <c r="F1121" i="3"/>
  <c r="H1121" i="3" s="1"/>
  <c r="I981" i="10"/>
  <c r="G1279" i="4"/>
  <c r="G988" i="4"/>
  <c r="I988" i="4" s="1"/>
  <c r="G245" i="5" l="1"/>
  <c r="I245" i="5" s="1"/>
  <c r="I258" i="5"/>
  <c r="G165" i="5"/>
  <c r="I165" i="5" s="1"/>
  <c r="G445" i="5"/>
  <c r="I450" i="5"/>
  <c r="G757" i="5"/>
  <c r="I764" i="5"/>
  <c r="G892" i="5"/>
  <c r="I892" i="5" s="1"/>
  <c r="I893" i="5"/>
  <c r="G24" i="6"/>
  <c r="I25" i="6"/>
  <c r="G914" i="5"/>
  <c r="I914" i="5" s="1"/>
  <c r="I915" i="5"/>
  <c r="G348" i="5"/>
  <c r="I348" i="5" s="1"/>
  <c r="I353" i="5"/>
  <c r="G812" i="5"/>
  <c r="I813" i="5"/>
  <c r="G1219" i="4"/>
  <c r="I1219" i="4" s="1"/>
  <c r="G738" i="5"/>
  <c r="I738" i="5" s="1"/>
  <c r="I739" i="5"/>
  <c r="G1030" i="5"/>
  <c r="I1030" i="5" s="1"/>
  <c r="I1031" i="5"/>
  <c r="F290" i="3"/>
  <c r="H290" i="3" s="1"/>
  <c r="G66" i="14"/>
  <c r="G57" i="14" s="1"/>
  <c r="G40" i="14" s="1"/>
  <c r="G39" i="14" s="1"/>
  <c r="E14" i="13" s="1"/>
  <c r="F533" i="3"/>
  <c r="H533" i="3" s="1"/>
  <c r="H541" i="3"/>
  <c r="H11" i="3"/>
  <c r="F10" i="3"/>
  <c r="F824" i="3"/>
  <c r="H824" i="3" s="1"/>
  <c r="F1098" i="3"/>
  <c r="H1098" i="3" s="1"/>
  <c r="H1099" i="3"/>
  <c r="G1009" i="4"/>
  <c r="I1009" i="4" s="1"/>
  <c r="I1010" i="4"/>
  <c r="G178" i="4"/>
  <c r="I178" i="4" s="1"/>
  <c r="I179" i="4"/>
  <c r="I1290" i="4" s="1"/>
  <c r="G220" i="4"/>
  <c r="I220" i="4" s="1"/>
  <c r="I221" i="4"/>
  <c r="G159" i="4"/>
  <c r="I159" i="4" s="1"/>
  <c r="I160" i="4"/>
  <c r="G863" i="4"/>
  <c r="I863" i="4" s="1"/>
  <c r="I864" i="4"/>
  <c r="G1293" i="4"/>
  <c r="I915" i="4"/>
  <c r="I1293" i="4" s="1"/>
  <c r="G944" i="4"/>
  <c r="I944" i="4" s="1"/>
  <c r="I945" i="4"/>
  <c r="G341" i="4"/>
  <c r="I341" i="4" s="1"/>
  <c r="I342" i="4"/>
  <c r="G1026" i="4"/>
  <c r="I1026" i="4" s="1"/>
  <c r="I1062" i="4"/>
  <c r="I1291" i="4" s="1"/>
  <c r="G191" i="4"/>
  <c r="I191" i="4" s="1"/>
  <c r="I192" i="4"/>
  <c r="G29" i="4"/>
  <c r="I29" i="4" s="1"/>
  <c r="I30" i="4"/>
  <c r="I1247" i="4"/>
  <c r="C17" i="18"/>
  <c r="G975" i="10"/>
  <c r="G977" i="10" s="1"/>
  <c r="G991" i="10"/>
  <c r="G216" i="5"/>
  <c r="I216" i="5" s="1"/>
  <c r="H654" i="16"/>
  <c r="H616" i="16" s="1"/>
  <c r="H516" i="16" s="1"/>
  <c r="H656" i="16"/>
  <c r="H655" i="16" s="1"/>
  <c r="H33" i="15"/>
  <c r="H32" i="15" s="1"/>
  <c r="H31" i="15" s="1"/>
  <c r="D151" i="12"/>
  <c r="F74" i="12"/>
  <c r="G195" i="5"/>
  <c r="I195" i="5" s="1"/>
  <c r="E74" i="12"/>
  <c r="E76" i="12" s="1"/>
  <c r="D52" i="13"/>
  <c r="H728" i="16"/>
  <c r="H931" i="16"/>
  <c r="H161" i="16"/>
  <c r="H455" i="16"/>
  <c r="H344" i="16"/>
  <c r="H313" i="16" s="1"/>
  <c r="G1290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H447" i="15"/>
  <c r="G447" i="15"/>
  <c r="F557" i="3"/>
  <c r="H557" i="3" s="1"/>
  <c r="G544" i="4"/>
  <c r="I544" i="4" s="1"/>
  <c r="G371" i="14"/>
  <c r="G370" i="14" s="1"/>
  <c r="G616" i="16"/>
  <c r="G516" i="16" s="1"/>
  <c r="G362" i="4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M1064" i="15" s="1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147" i="4"/>
  <c r="I1147" i="4" s="1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647" i="5"/>
  <c r="G177" i="4"/>
  <c r="I177" i="4" s="1"/>
  <c r="G83" i="5"/>
  <c r="I83" i="5" s="1"/>
  <c r="G264" i="5"/>
  <c r="G791" i="5"/>
  <c r="G317" i="5"/>
  <c r="G164" i="5"/>
  <c r="I164" i="5" s="1"/>
  <c r="G773" i="4"/>
  <c r="I773" i="4" s="1"/>
  <c r="G558" i="4"/>
  <c r="I558" i="4" s="1"/>
  <c r="G1188" i="4"/>
  <c r="I1188" i="4" s="1"/>
  <c r="G10" i="4"/>
  <c r="G466" i="4"/>
  <c r="I466" i="4" s="1"/>
  <c r="G819" i="4"/>
  <c r="I819" i="4" s="1"/>
  <c r="G954" i="4"/>
  <c r="I954" i="4" s="1"/>
  <c r="G1104" i="4"/>
  <c r="I1104" i="4" s="1"/>
  <c r="I1289" i="4" s="1"/>
  <c r="G231" i="4"/>
  <c r="G658" i="4"/>
  <c r="I658" i="4" s="1"/>
  <c r="G158" i="4"/>
  <c r="I158" i="4" s="1"/>
  <c r="H1134" i="15"/>
  <c r="G1134" i="15"/>
  <c r="G1295" i="4"/>
  <c r="G1197" i="4"/>
  <c r="I1197" i="4" s="1"/>
  <c r="G1291" i="4"/>
  <c r="G121" i="4"/>
  <c r="G298" i="4"/>
  <c r="I298" i="4" s="1"/>
  <c r="I1287" i="4" s="1"/>
  <c r="H1155" i="15"/>
  <c r="G1155" i="15"/>
  <c r="G982" i="4"/>
  <c r="H1143" i="15"/>
  <c r="G1143" i="15"/>
  <c r="G920" i="4"/>
  <c r="I920" i="4" s="1"/>
  <c r="G1230" i="4"/>
  <c r="I1230" i="4" s="1"/>
  <c r="G587" i="4"/>
  <c r="I587" i="4" s="1"/>
  <c r="G267" i="4"/>
  <c r="I267" i="4" s="1"/>
  <c r="G336" i="5"/>
  <c r="I336" i="5" s="1"/>
  <c r="G974" i="4"/>
  <c r="I974" i="4" s="1"/>
  <c r="G810" i="4"/>
  <c r="I810" i="4" s="1"/>
  <c r="G474" i="4"/>
  <c r="I474" i="4" s="1"/>
  <c r="G85" i="5"/>
  <c r="G152" i="5"/>
  <c r="I152" i="5" s="1"/>
  <c r="G279" i="5"/>
  <c r="I279" i="5" s="1"/>
  <c r="G949" i="5"/>
  <c r="I949" i="5" s="1"/>
  <c r="G151" i="4"/>
  <c r="I151" i="4" s="1"/>
  <c r="I1254" i="4" s="1"/>
  <c r="G866" i="5"/>
  <c r="I866" i="5" s="1"/>
  <c r="G987" i="5"/>
  <c r="I987" i="5" s="1"/>
  <c r="G999" i="5"/>
  <c r="I999" i="5" s="1"/>
  <c r="G582" i="5"/>
  <c r="I582" i="5" s="1"/>
  <c r="G556" i="5"/>
  <c r="I556" i="5" s="1"/>
  <c r="G700" i="5"/>
  <c r="I700" i="5" s="1"/>
  <c r="G879" i="5"/>
  <c r="I879" i="5" s="1"/>
  <c r="G61" i="5"/>
  <c r="I61" i="5" s="1"/>
  <c r="G1007" i="5"/>
  <c r="I1007" i="5" s="1"/>
  <c r="G78" i="5"/>
  <c r="I78" i="5" s="1"/>
  <c r="G504" i="5"/>
  <c r="I504" i="5" s="1"/>
  <c r="G505" i="5"/>
  <c r="I505" i="5" s="1"/>
  <c r="G293" i="5"/>
  <c r="I293" i="5" s="1"/>
  <c r="G847" i="5"/>
  <c r="I847" i="5" s="1"/>
  <c r="G347" i="5"/>
  <c r="I347" i="5" s="1"/>
  <c r="G545" i="5"/>
  <c r="I545" i="5" s="1"/>
  <c r="G529" i="5"/>
  <c r="I529" i="5" s="1"/>
  <c r="G67" i="5"/>
  <c r="I67" i="5" s="1"/>
  <c r="G68" i="5"/>
  <c r="I68" i="5" s="1"/>
  <c r="G18" i="5"/>
  <c r="I18" i="5" s="1"/>
  <c r="G1022" i="5"/>
  <c r="I1022" i="5" s="1"/>
  <c r="G1023" i="5"/>
  <c r="I1023" i="5" s="1"/>
  <c r="G432" i="5"/>
  <c r="G1016" i="5"/>
  <c r="I1016" i="5" s="1"/>
  <c r="G887" i="5"/>
  <c r="I887" i="5" s="1"/>
  <c r="G594" i="5"/>
  <c r="I594" i="5" s="1"/>
  <c r="G346" i="5"/>
  <c r="I346" i="5" s="1"/>
  <c r="G103" i="5"/>
  <c r="I103" i="5" s="1"/>
  <c r="G515" i="5"/>
  <c r="I515" i="5" s="1"/>
  <c r="G993" i="5"/>
  <c r="I993" i="5" s="1"/>
  <c r="G93" i="5"/>
  <c r="I93" i="5" s="1"/>
  <c r="G94" i="5"/>
  <c r="I94" i="5" s="1"/>
  <c r="G873" i="5"/>
  <c r="I873" i="5" s="1"/>
  <c r="G474" i="5"/>
  <c r="I474" i="5" s="1"/>
  <c r="F750" i="3"/>
  <c r="H750" i="3" s="1"/>
  <c r="F32" i="3"/>
  <c r="H32" i="3" s="1"/>
  <c r="F405" i="3"/>
  <c r="F462" i="3"/>
  <c r="H462" i="3" s="1"/>
  <c r="F604" i="3"/>
  <c r="H604" i="3" s="1"/>
  <c r="F289" i="3"/>
  <c r="H289" i="3" s="1"/>
  <c r="F1087" i="3"/>
  <c r="H1087" i="3" s="1"/>
  <c r="F1111" i="3"/>
  <c r="H1111" i="3" s="1"/>
  <c r="F1011" i="3"/>
  <c r="H1011" i="3" s="1"/>
  <c r="F1120" i="3"/>
  <c r="H1120" i="3" s="1"/>
  <c r="F491" i="3"/>
  <c r="H491" i="3" s="1"/>
  <c r="F284" i="3"/>
  <c r="H284" i="3" s="1"/>
  <c r="F252" i="3"/>
  <c r="H252" i="3" s="1"/>
  <c r="F815" i="3"/>
  <c r="H815" i="3" s="1"/>
  <c r="F353" i="3"/>
  <c r="H353" i="3" s="1"/>
  <c r="F506" i="3"/>
  <c r="H506" i="3" s="1"/>
  <c r="F271" i="3"/>
  <c r="H271" i="3" s="1"/>
  <c r="F960" i="3"/>
  <c r="H960" i="3" s="1"/>
  <c r="F974" i="3"/>
  <c r="H974" i="3" s="1"/>
  <c r="F947" i="3"/>
  <c r="H947" i="3" s="1"/>
  <c r="F719" i="3"/>
  <c r="H719" i="3" s="1"/>
  <c r="F1081" i="3"/>
  <c r="H1081" i="3" s="1"/>
  <c r="F984" i="3"/>
  <c r="H984" i="3" s="1"/>
  <c r="F855" i="3"/>
  <c r="H855" i="3" s="1"/>
  <c r="F115" i="3"/>
  <c r="H115" i="3" s="1"/>
  <c r="F673" i="3"/>
  <c r="F188" i="3"/>
  <c r="H188" i="3" s="1"/>
  <c r="F154" i="3"/>
  <c r="H154" i="3" s="1"/>
  <c r="F448" i="3"/>
  <c r="H448" i="3" s="1"/>
  <c r="F796" i="3"/>
  <c r="H796" i="3" s="1"/>
  <c r="F837" i="3"/>
  <c r="H837" i="3" s="1"/>
  <c r="F1134" i="3"/>
  <c r="H1134" i="3" s="1"/>
  <c r="F304" i="3"/>
  <c r="F737" i="3"/>
  <c r="H737" i="3" s="1"/>
  <c r="F43" i="3"/>
  <c r="H43" i="3" s="1"/>
  <c r="H1151" i="15"/>
  <c r="G1151" i="15"/>
  <c r="G628" i="5"/>
  <c r="I628" i="5" s="1"/>
  <c r="G423" i="5" l="1"/>
  <c r="I423" i="5" s="1"/>
  <c r="I432" i="5"/>
  <c r="G84" i="5"/>
  <c r="I84" i="5" s="1"/>
  <c r="I85" i="5"/>
  <c r="G263" i="5"/>
  <c r="I263" i="5" s="1"/>
  <c r="I264" i="5"/>
  <c r="G811" i="5"/>
  <c r="I811" i="5" s="1"/>
  <c r="I812" i="5"/>
  <c r="G913" i="5"/>
  <c r="I913" i="5" s="1"/>
  <c r="G316" i="5"/>
  <c r="I316" i="5" s="1"/>
  <c r="I317" i="5"/>
  <c r="G23" i="6"/>
  <c r="I24" i="6"/>
  <c r="G756" i="5"/>
  <c r="I756" i="5" s="1"/>
  <c r="I757" i="5"/>
  <c r="G444" i="5"/>
  <c r="I445" i="5"/>
  <c r="G810" i="5"/>
  <c r="I810" i="5" s="1"/>
  <c r="I1255" i="4"/>
  <c r="G207" i="4"/>
  <c r="I207" i="4" s="1"/>
  <c r="G790" i="5"/>
  <c r="I790" i="5" s="1"/>
  <c r="I791" i="5"/>
  <c r="G646" i="5"/>
  <c r="I646" i="5" s="1"/>
  <c r="I647" i="5"/>
  <c r="G858" i="4"/>
  <c r="I858" i="4" s="1"/>
  <c r="F672" i="3"/>
  <c r="H673" i="3"/>
  <c r="F303" i="3"/>
  <c r="H303" i="3" s="1"/>
  <c r="H304" i="3"/>
  <c r="F369" i="3"/>
  <c r="H369" i="3" s="1"/>
  <c r="H405" i="3"/>
  <c r="H10" i="3"/>
  <c r="F9" i="3"/>
  <c r="G981" i="4"/>
  <c r="I981" i="4" s="1"/>
  <c r="I1256" i="4" s="1"/>
  <c r="I1257" i="4" s="1"/>
  <c r="I982" i="4"/>
  <c r="G28" i="4"/>
  <c r="I28" i="4" s="1"/>
  <c r="I121" i="4"/>
  <c r="G230" i="4"/>
  <c r="I230" i="4" s="1"/>
  <c r="I231" i="4"/>
  <c r="I1280" i="4" s="1"/>
  <c r="I1299" i="4" s="1"/>
  <c r="I1051" i="5" s="1"/>
  <c r="I1286" i="4"/>
  <c r="G9" i="4"/>
  <c r="I9" i="4" s="1"/>
  <c r="I10" i="4"/>
  <c r="G361" i="4"/>
  <c r="I361" i="4" s="1"/>
  <c r="I362" i="4"/>
  <c r="I1281" i="4"/>
  <c r="E52" i="13"/>
  <c r="D17" i="18"/>
  <c r="F273" i="14"/>
  <c r="D26" i="13" s="1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90" i="3"/>
  <c r="H490" i="3" s="1"/>
  <c r="G789" i="5"/>
  <c r="I789" i="5" s="1"/>
  <c r="G340" i="4"/>
  <c r="I340" i="4" s="1"/>
  <c r="G297" i="4"/>
  <c r="I297" i="4" s="1"/>
  <c r="G1287" i="4"/>
  <c r="H1152" i="15"/>
  <c r="G1152" i="15"/>
  <c r="G657" i="4"/>
  <c r="I657" i="4" s="1"/>
  <c r="G1096" i="4"/>
  <c r="G1289" i="4"/>
  <c r="G953" i="4"/>
  <c r="I953" i="4" s="1"/>
  <c r="G586" i="4"/>
  <c r="I586" i="4" s="1"/>
  <c r="G440" i="4"/>
  <c r="I440" i="4" s="1"/>
  <c r="G772" i="4"/>
  <c r="I772" i="4" s="1"/>
  <c r="H1156" i="15"/>
  <c r="G1156" i="15"/>
  <c r="G523" i="4"/>
  <c r="G1196" i="4"/>
  <c r="I1196" i="4" s="1"/>
  <c r="G1187" i="4"/>
  <c r="I1187" i="4" s="1"/>
  <c r="G194" i="5"/>
  <c r="I194" i="5" s="1"/>
  <c r="G788" i="5"/>
  <c r="F532" i="3"/>
  <c r="H532" i="3" s="1"/>
  <c r="G1255" i="4"/>
  <c r="G809" i="4"/>
  <c r="I809" i="4" s="1"/>
  <c r="G1281" i="4"/>
  <c r="G473" i="4"/>
  <c r="I473" i="4" s="1"/>
  <c r="G1280" i="4"/>
  <c r="G872" i="5"/>
  <c r="I872" i="5" s="1"/>
  <c r="G17" i="5"/>
  <c r="I17" i="5" s="1"/>
  <c r="G1006" i="5"/>
  <c r="I1006" i="5" s="1"/>
  <c r="G555" i="5"/>
  <c r="I555" i="5" s="1"/>
  <c r="G514" i="5"/>
  <c r="I514" i="5" s="1"/>
  <c r="G593" i="5"/>
  <c r="G1014" i="5"/>
  <c r="I1014" i="5" s="1"/>
  <c r="G1015" i="5"/>
  <c r="I1015" i="5" s="1"/>
  <c r="G1029" i="5"/>
  <c r="I1029" i="5" s="1"/>
  <c r="G846" i="5"/>
  <c r="I846" i="5" s="1"/>
  <c r="G865" i="5"/>
  <c r="I865" i="5" s="1"/>
  <c r="G43" i="5"/>
  <c r="I43" i="5" s="1"/>
  <c r="G151" i="5"/>
  <c r="I151" i="5" s="1"/>
  <c r="G466" i="5"/>
  <c r="I466" i="5" s="1"/>
  <c r="G100" i="5"/>
  <c r="I100" i="5" s="1"/>
  <c r="G74" i="5"/>
  <c r="I74" i="5" s="1"/>
  <c r="G60" i="5"/>
  <c r="I60" i="5" s="1"/>
  <c r="G960" i="5"/>
  <c r="I960" i="5" s="1"/>
  <c r="G102" i="5"/>
  <c r="I102" i="5" s="1"/>
  <c r="G101" i="5"/>
  <c r="I101" i="5" s="1"/>
  <c r="G878" i="5"/>
  <c r="I878" i="5" s="1"/>
  <c r="G886" i="5"/>
  <c r="I886" i="5" s="1"/>
  <c r="G431" i="5"/>
  <c r="I431" i="5" s="1"/>
  <c r="G544" i="5"/>
  <c r="I544" i="5" s="1"/>
  <c r="G77" i="5"/>
  <c r="I77" i="5" s="1"/>
  <c r="G699" i="5"/>
  <c r="I699" i="5" s="1"/>
  <c r="G581" i="5"/>
  <c r="I581" i="5" s="1"/>
  <c r="G1254" i="4"/>
  <c r="G278" i="5"/>
  <c r="I278" i="5" s="1"/>
  <c r="F973" i="3"/>
  <c r="F251" i="3"/>
  <c r="H251" i="3" s="1"/>
  <c r="D24" i="2"/>
  <c r="F24" i="2" s="1"/>
  <c r="F187" i="3"/>
  <c r="H187" i="3" s="1"/>
  <c r="F718" i="3"/>
  <c r="H718" i="3" s="1"/>
  <c r="F270" i="3"/>
  <c r="H270" i="3" s="1"/>
  <c r="F352" i="3"/>
  <c r="H352" i="3" s="1"/>
  <c r="F283" i="3"/>
  <c r="H283" i="3" s="1"/>
  <c r="F1119" i="3"/>
  <c r="H1119" i="3" s="1"/>
  <c r="F1110" i="3"/>
  <c r="F823" i="3"/>
  <c r="H823" i="3" s="1"/>
  <c r="F854" i="3"/>
  <c r="H854" i="3" s="1"/>
  <c r="F114" i="3"/>
  <c r="H114" i="3" s="1"/>
  <c r="F447" i="3"/>
  <c r="H447" i="3" s="1"/>
  <c r="F749" i="3"/>
  <c r="H749" i="3" s="1"/>
  <c r="F42" i="3"/>
  <c r="H42" i="3" s="1"/>
  <c r="F795" i="3"/>
  <c r="H795" i="3" s="1"/>
  <c r="F1063" i="3"/>
  <c r="H1063" i="3" s="1"/>
  <c r="F959" i="3"/>
  <c r="H959" i="3" s="1"/>
  <c r="F814" i="3"/>
  <c r="H814" i="3" s="1"/>
  <c r="F1010" i="3"/>
  <c r="H1010" i="3" s="1"/>
  <c r="F31" i="3"/>
  <c r="H31" i="3" s="1"/>
  <c r="I991" i="10"/>
  <c r="G592" i="5" l="1"/>
  <c r="I592" i="5" s="1"/>
  <c r="I593" i="5"/>
  <c r="I444" i="5"/>
  <c r="G443" i="5"/>
  <c r="I23" i="6"/>
  <c r="G41" i="6"/>
  <c r="I41" i="6" s="1"/>
  <c r="G645" i="5"/>
  <c r="I645" i="5" s="1"/>
  <c r="G787" i="5"/>
  <c r="I787" i="5" s="1"/>
  <c r="I788" i="5"/>
  <c r="G315" i="5"/>
  <c r="I315" i="5" s="1"/>
  <c r="F1086" i="3"/>
  <c r="H1086" i="3" s="1"/>
  <c r="H1110" i="3"/>
  <c r="F972" i="3"/>
  <c r="H972" i="3" s="1"/>
  <c r="H973" i="3"/>
  <c r="D11" i="2"/>
  <c r="F11" i="2" s="1"/>
  <c r="H9" i="3"/>
  <c r="F637" i="3"/>
  <c r="H637" i="3" s="1"/>
  <c r="H672" i="3"/>
  <c r="G522" i="4"/>
  <c r="I522" i="4" s="1"/>
  <c r="I523" i="4"/>
  <c r="G1008" i="4"/>
  <c r="I1008" i="4" s="1"/>
  <c r="I1259" i="4" s="1"/>
  <c r="I1260" i="4" s="1"/>
  <c r="I1096" i="4"/>
  <c r="F241" i="14"/>
  <c r="D22" i="13"/>
  <c r="G850" i="15"/>
  <c r="G513" i="5"/>
  <c r="I513" i="5" s="1"/>
  <c r="D53" i="2"/>
  <c r="G360" i="4"/>
  <c r="G585" i="4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868" i="14"/>
  <c r="J868" i="14" s="1"/>
  <c r="D43" i="13"/>
  <c r="D41" i="13" s="1"/>
  <c r="F531" i="3"/>
  <c r="G193" i="5"/>
  <c r="I193" i="5" s="1"/>
  <c r="G1286" i="4"/>
  <c r="G1299" i="4" s="1"/>
  <c r="G1051" i="5" s="1"/>
  <c r="G296" i="4"/>
  <c r="I296" i="4" s="1"/>
  <c r="G1256" i="4"/>
  <c r="G1257" i="4" s="1"/>
  <c r="G1150" i="15"/>
  <c r="H1150" i="15"/>
  <c r="G27" i="4"/>
  <c r="I27" i="4" s="1"/>
  <c r="G1195" i="4"/>
  <c r="I1195" i="4" s="1"/>
  <c r="G229" i="4"/>
  <c r="H1148" i="15"/>
  <c r="G1148" i="15"/>
  <c r="H1142" i="15"/>
  <c r="G1142" i="15"/>
  <c r="H1116" i="15"/>
  <c r="G1116" i="15"/>
  <c r="G472" i="4"/>
  <c r="H1141" i="15"/>
  <c r="G1141" i="15"/>
  <c r="G1013" i="5"/>
  <c r="I1013" i="5" s="1"/>
  <c r="G42" i="5"/>
  <c r="I42" i="5" s="1"/>
  <c r="F933" i="3"/>
  <c r="H1115" i="15"/>
  <c r="G1115" i="15"/>
  <c r="G885" i="5"/>
  <c r="I885" i="5" s="1"/>
  <c r="G948" i="5"/>
  <c r="I948" i="5" s="1"/>
  <c r="G150" i="5"/>
  <c r="I150" i="5" s="1"/>
  <c r="G864" i="5"/>
  <c r="I864" i="5" s="1"/>
  <c r="G871" i="5"/>
  <c r="I871" i="5" s="1"/>
  <c r="G76" i="5"/>
  <c r="I76" i="5" s="1"/>
  <c r="G75" i="5"/>
  <c r="I75" i="5" s="1"/>
  <c r="G59" i="5"/>
  <c r="I59" i="5" s="1"/>
  <c r="G845" i="5"/>
  <c r="I845" i="5" s="1"/>
  <c r="G1021" i="5"/>
  <c r="I1021" i="5" s="1"/>
  <c r="G580" i="5"/>
  <c r="I580" i="5" s="1"/>
  <c r="G108" i="5"/>
  <c r="I108" i="5" s="1"/>
  <c r="G9" i="5"/>
  <c r="I9" i="5" s="1"/>
  <c r="D44" i="2"/>
  <c r="F44" i="2" s="1"/>
  <c r="D25" i="2"/>
  <c r="F25" i="2" s="1"/>
  <c r="D28" i="2"/>
  <c r="F28" i="2" s="1"/>
  <c r="D23" i="2"/>
  <c r="F23" i="2" s="1"/>
  <c r="F269" i="3"/>
  <c r="H269" i="3" s="1"/>
  <c r="D22" i="2"/>
  <c r="F22" i="2" s="1"/>
  <c r="F250" i="3"/>
  <c r="H250" i="3" s="1"/>
  <c r="D20" i="2"/>
  <c r="F20" i="2" s="1"/>
  <c r="D30" i="2"/>
  <c r="F30" i="2" s="1"/>
  <c r="F439" i="3"/>
  <c r="D38" i="2"/>
  <c r="F38" i="2" s="1"/>
  <c r="F153" i="3"/>
  <c r="D12" i="2"/>
  <c r="F12" i="2" s="1"/>
  <c r="F1062" i="3"/>
  <c r="F794" i="3"/>
  <c r="H794" i="3" s="1"/>
  <c r="D13" i="2"/>
  <c r="F13" i="2" s="1"/>
  <c r="D14" i="2"/>
  <c r="F14" i="2" s="1"/>
  <c r="D36" i="2"/>
  <c r="F36" i="2" s="1"/>
  <c r="F1118" i="3"/>
  <c r="H1118" i="3" s="1"/>
  <c r="D49" i="2"/>
  <c r="F49" i="2" s="1"/>
  <c r="D27" i="2"/>
  <c r="F27" i="2" s="1"/>
  <c r="F717" i="3"/>
  <c r="H717" i="3" s="1"/>
  <c r="C18" i="7"/>
  <c r="I443" i="5" l="1"/>
  <c r="G442" i="5"/>
  <c r="I442" i="5" s="1"/>
  <c r="D39" i="2"/>
  <c r="F39" i="2" s="1"/>
  <c r="H933" i="3"/>
  <c r="F1058" i="3"/>
  <c r="H1058" i="3" s="1"/>
  <c r="H1062" i="3"/>
  <c r="F351" i="3"/>
  <c r="H351" i="3" s="1"/>
  <c r="H439" i="3"/>
  <c r="F965" i="3"/>
  <c r="H965" i="3" s="1"/>
  <c r="F8" i="3"/>
  <c r="H8" i="3" s="1"/>
  <c r="H153" i="3"/>
  <c r="D32" i="2"/>
  <c r="F32" i="2" s="1"/>
  <c r="H531" i="3"/>
  <c r="G1251" i="4"/>
  <c r="G1252" i="4" s="1"/>
  <c r="I229" i="4"/>
  <c r="I1251" i="4" s="1"/>
  <c r="G574" i="4"/>
  <c r="I574" i="4" s="1"/>
  <c r="I585" i="4"/>
  <c r="I1262" i="4" s="1"/>
  <c r="I1263" i="4" s="1"/>
  <c r="G1268" i="4"/>
  <c r="I472" i="4"/>
  <c r="I1268" i="4" s="1"/>
  <c r="I1269" i="4" s="1"/>
  <c r="G1265" i="4"/>
  <c r="G1266" i="4" s="1"/>
  <c r="I360" i="4"/>
  <c r="I1265" i="4" s="1"/>
  <c r="I1266" i="4" s="1"/>
  <c r="F586" i="14"/>
  <c r="F552" i="14" s="1"/>
  <c r="F551" i="14" s="1"/>
  <c r="G1105" i="15"/>
  <c r="G228" i="4"/>
  <c r="I228" i="4" s="1"/>
  <c r="E27" i="13"/>
  <c r="F316" i="14"/>
  <c r="D18" i="18"/>
  <c r="G1016" i="14"/>
  <c r="G316" i="14"/>
  <c r="E34" i="13"/>
  <c r="E32" i="13" s="1"/>
  <c r="G479" i="14"/>
  <c r="K479" i="14" s="1"/>
  <c r="G163" i="5"/>
  <c r="I163" i="5" s="1"/>
  <c r="G857" i="4"/>
  <c r="G1259" i="4"/>
  <c r="G1260" i="4" s="1"/>
  <c r="G952" i="4"/>
  <c r="I952" i="4" s="1"/>
  <c r="H1117" i="15"/>
  <c r="H1118" i="15" s="1"/>
  <c r="G1117" i="15"/>
  <c r="G1118" i="15" s="1"/>
  <c r="H1113" i="15"/>
  <c r="G1113" i="15"/>
  <c r="H1147" i="15"/>
  <c r="H1160" i="15" s="1"/>
  <c r="G1147" i="15"/>
  <c r="G1262" i="4"/>
  <c r="G1263" i="4" s="1"/>
  <c r="G844" i="5"/>
  <c r="I844" i="5" s="1"/>
  <c r="F853" i="3"/>
  <c r="H853" i="3" s="1"/>
  <c r="G863" i="5"/>
  <c r="I863" i="5" s="1"/>
  <c r="G30" i="5"/>
  <c r="I30" i="5" s="1"/>
  <c r="G591" i="5"/>
  <c r="I591" i="5" s="1"/>
  <c r="G512" i="5"/>
  <c r="I512" i="5" s="1"/>
  <c r="G66" i="5"/>
  <c r="I66" i="5" s="1"/>
  <c r="F1030" i="3"/>
  <c r="H1030" i="3" s="1"/>
  <c r="D35" i="2"/>
  <c r="F35" i="2" s="1"/>
  <c r="D16" i="2"/>
  <c r="D34" i="2"/>
  <c r="F34" i="2" s="1"/>
  <c r="D47" i="2"/>
  <c r="F47" i="2" s="1"/>
  <c r="F603" i="3"/>
  <c r="H603" i="3" s="1"/>
  <c r="D42" i="2"/>
  <c r="D48" i="2"/>
  <c r="F48" i="2" s="1"/>
  <c r="D29" i="2"/>
  <c r="F29" i="2" s="1"/>
  <c r="D19" i="2"/>
  <c r="F19" i="2" s="1"/>
  <c r="D21" i="2"/>
  <c r="F21" i="2" s="1"/>
  <c r="D37" i="2" l="1"/>
  <c r="F37" i="2" s="1"/>
  <c r="D40" i="2"/>
  <c r="F40" i="2" s="1"/>
  <c r="F42" i="2"/>
  <c r="D10" i="2"/>
  <c r="F10" i="2" s="1"/>
  <c r="F16" i="2"/>
  <c r="I1252" i="4"/>
  <c r="I1275" i="4"/>
  <c r="G1271" i="4"/>
  <c r="G1272" i="4" s="1"/>
  <c r="I857" i="4"/>
  <c r="I1271" i="4" s="1"/>
  <c r="I1272" i="4" s="1"/>
  <c r="F479" i="14"/>
  <c r="J479" i="14" s="1"/>
  <c r="D34" i="13"/>
  <c r="D32" i="13" s="1"/>
  <c r="F1016" i="14"/>
  <c r="C18" i="18"/>
  <c r="G849" i="4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269" i="4"/>
  <c r="G1275" i="4"/>
  <c r="G29" i="5"/>
  <c r="I29" i="5" s="1"/>
  <c r="D26" i="2"/>
  <c r="F26" i="2" s="1"/>
  <c r="F602" i="3"/>
  <c r="H602" i="3" s="1"/>
  <c r="F1056" i="3"/>
  <c r="H1056" i="3" s="1"/>
  <c r="I1276" i="4" l="1"/>
  <c r="I1277" i="4" s="1"/>
  <c r="G1244" i="4"/>
  <c r="I1244" i="4" s="1"/>
  <c r="I849" i="4"/>
  <c r="G1276" i="4"/>
  <c r="G1277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1" i="2"/>
  <c r="G1130" i="15"/>
  <c r="H1130" i="15"/>
  <c r="H1137" i="15" s="1"/>
  <c r="H1136" i="15"/>
  <c r="D33" i="2"/>
  <c r="F33" i="2" s="1"/>
  <c r="F530" i="3"/>
  <c r="H530" i="3" s="1"/>
  <c r="F1029" i="3"/>
  <c r="H1029" i="3" s="1"/>
  <c r="I1246" i="4" l="1"/>
  <c r="H1140" i="3"/>
  <c r="F51" i="2"/>
  <c r="F1024" i="3"/>
  <c r="G1136" i="15"/>
  <c r="G1137" i="15"/>
  <c r="G1246" i="4"/>
  <c r="F1140" i="3"/>
  <c r="H1138" i="15"/>
  <c r="D31" i="2"/>
  <c r="F31" i="2" s="1"/>
  <c r="F1023" i="3" l="1"/>
  <c r="H1023" i="3" s="1"/>
  <c r="H1024" i="3"/>
  <c r="G1138" i="15"/>
  <c r="G1107" i="15"/>
  <c r="F1013" i="14"/>
  <c r="D46" i="2"/>
  <c r="F46" i="2" s="1"/>
  <c r="H1107" i="15" l="1"/>
  <c r="G1013" i="14"/>
  <c r="D45" i="2"/>
  <c r="F1139" i="3"/>
  <c r="H1139" i="3" s="1"/>
  <c r="H1141" i="3" s="1"/>
  <c r="D50" i="2" l="1"/>
  <c r="F50" i="2" s="1"/>
  <c r="F45" i="2"/>
  <c r="F1141" i="3"/>
  <c r="F1014" i="14" s="1"/>
  <c r="G1014" i="14" s="1"/>
  <c r="C19" i="7" l="1"/>
  <c r="C20" i="7" s="1"/>
  <c r="D54" i="2"/>
  <c r="F54" i="2"/>
  <c r="F52" i="2"/>
  <c r="D19" i="18"/>
  <c r="D11" i="18" s="1"/>
  <c r="C19" i="18"/>
  <c r="C11" i="18" s="1"/>
  <c r="D52" i="2"/>
  <c r="C13" i="18" l="1"/>
  <c r="C12" i="18" s="1"/>
  <c r="C10" i="18"/>
  <c r="C14" i="7"/>
  <c r="C15" i="7" s="1"/>
  <c r="C14" i="18" l="1"/>
  <c r="C9" i="18"/>
  <c r="D10" i="18"/>
  <c r="C13" i="7" l="1"/>
  <c r="C10" i="7" s="1"/>
  <c r="D9" i="18" s="1"/>
  <c r="D13" i="18"/>
  <c r="G262" i="5"/>
  <c r="G162" i="5" l="1"/>
  <c r="I162" i="5" s="1"/>
  <c r="I262" i="5"/>
  <c r="D12" i="18"/>
  <c r="D14" i="18"/>
  <c r="G1049" i="5"/>
  <c r="G1052" i="5" l="1"/>
  <c r="I1049" i="5"/>
  <c r="I1052" i="5" s="1"/>
  <c r="E97" i="1"/>
  <c r="E112" i="1"/>
  <c r="D105" i="1"/>
  <c r="E105" i="1" l="1"/>
  <c r="D96" i="1"/>
  <c r="D95" i="1" s="1"/>
  <c r="E96" i="1" l="1"/>
  <c r="D188" i="1"/>
  <c r="E95" i="1"/>
  <c r="E188" i="1" l="1"/>
  <c r="D18" i="7"/>
  <c r="D20" i="7" s="1"/>
  <c r="D14" i="7" s="1"/>
  <c r="D15" i="7" l="1"/>
  <c r="E15" i="7" s="1"/>
  <c r="D13" i="7"/>
  <c r="D10" i="7" s="1"/>
</calcChain>
</file>

<file path=xl/comments1.xml><?xml version="1.0" encoding="utf-8"?>
<comments xmlns="http://schemas.openxmlformats.org/spreadsheetml/2006/main">
  <authors>
    <author>Автор</author>
  </authors>
  <commentList>
    <comment ref="B109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<sst xmlns="http://schemas.openxmlformats.org/spreadsheetml/2006/main" count="36006" uniqueCount="1684">
  <si>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</si>
  <si>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</si>
  <si>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</si>
  <si>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</si>
  <si>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</si>
  <si>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</si>
  <si>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</si>
  <si>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</si>
  <si>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</si>
  <si>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</si>
  <si>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</si>
  <si>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</si>
  <si>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</si>
  <si>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</si>
  <si>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</si>
  <si>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</si>
  <si>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</si>
  <si>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</si>
  <si>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</si>
  <si>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</si>
  <si>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</si>
  <si>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</si>
  <si>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</si>
  <si>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</si>
  <si>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</si>
  <si>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</si>
  <si>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</si>
  <si>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</si>
  <si>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</si>
  <si>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</si>
  <si>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</si>
  <si>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</si>
  <si>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</si>
  <si>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</si>
  <si>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</si>
  <si>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</si>
  <si>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</si>
  <si>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</si>
  <si>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</si>
  <si>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</si>
  <si>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</si>
  <si>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</si>
  <si>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</si>
  <si>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</si>
  <si>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</si>
  <si>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</si>
  <si>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</si>
  <si>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</si>
  <si>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</si>
  <si>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</si>
  <si>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</si>
  <si>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</si>
  <si>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</si>
  <si>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</si>
  <si>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</si>
  <si>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</si>
  <si>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</si>
  <si>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</si>
  <si>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</si>
  <si>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</si>
  <si>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</si>
  <si>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</si>
  <si>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</si>
  <si>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</si>
  <si>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</si>
  <si>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</si>
  <si>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</si>
  <si>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</si>
  <si>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</si>
  <si>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</si>
  <si>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</si>
  <si>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</si>
  <si>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</si>
  <si>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</si>
  <si>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</si>
  <si>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</si>
  <si>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</si>
  <si>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</si>
  <si>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</si>
  <si>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</si>
  <si>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</si>
  <si>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</si>
  <si>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</si>
  <si>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</si>
  <si>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</si>
  <si>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</si>
  <si>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</si>
  <si>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</si>
  <si>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</si>
  <si>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</si>
  <si>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</si>
  <si>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</si>
  <si>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</si>
  <si>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</si>
  <si>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</si>
  <si>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</si>
  <si>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</si>
  <si>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</si>
  <si>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</si>
  <si>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</si>
  <si>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</si>
  <si>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</si>
  <si>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</si>
  <si>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</si>
  <si>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</si>
  <si>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</si>
  <si>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</si>
  <si>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</si>
  <si>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</si>
  <si>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</si>
  <si>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</si>
  <si>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</si>
  <si>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</si>
  <si>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</si>
  <si>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</si>
  <si>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</si>
  <si>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</si>
  <si>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</si>
  <si>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</si>
  <si>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</si>
  <si>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</si>
  <si>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</si>
  <si>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</si>
  <si>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</si>
  <si>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</si>
  <si>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</si>
  <si>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</si>
  <si>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</si>
  <si>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</si>
  <si>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</si>
  <si>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</si>
  <si>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</si>
  <si>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</si>
  <si>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</si>
  <si>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</si>
  <si>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</si>
  <si>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</si>
  <si>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</si>
  <si>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</si>
  <si>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</si>
  <si>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</si>
  <si>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</si>
  <si>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</si>
  <si>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</si>
  <si>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</si>
  <si>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</si>
  <si>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</si>
  <si>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</si>
  <si>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</si>
  <si>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</si>
  <si>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</si>
  <si>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</si>
  <si>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</si>
  <si>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</si>
  <si>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</si>
  <si>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</si>
  <si>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</si>
  <si>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</si>
  <si>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</si>
  <si>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</si>
  <si>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</si>
  <si>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</si>
  <si>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</si>
  <si>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</si>
  <si>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</si>
  <si>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</si>
  <si>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</si>
  <si>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</si>
  <si>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</si>
  <si>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</si>
  <si>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</si>
  <si>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</si>
  <si>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</si>
  <si>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</si>
  <si>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</si>
  <si>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</si>
  <si>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</si>
  <si>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</si>
  <si>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</si>
  <si>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</si>
  <si>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</si>
  <si>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</si>
  <si>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</si>
  <si>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</si>
  <si>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</si>
  <si>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</si>
  <si>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</si>
  <si>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</si>
  <si>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</si>
  <si>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</si>
  <si>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</si>
  <si>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</si>
  <si>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</si>
  <si>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</si>
  <si>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</si>
  <si>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</si>
  <si>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</si>
  <si>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</si>
  <si>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</si>
  <si>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</si>
  <si>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</si>
  <si>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</si>
  <si>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</si>
  <si>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</si>
  <si>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</si>
  <si>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</si>
  <si>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</si>
  <si>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</si>
  <si>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</si>
  <si>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</si>
  <si>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</si>
  <si>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</si>
  <si>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</si>
  <si>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</si>
  <si>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</si>
  <si>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</si>
  <si>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</si>
  <si>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</si>
  <si>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</si>
  <si>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</si>
  <si>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</si>
  <si>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</si>
  <si>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</si>
  <si>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</si>
  <si>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</si>
  <si>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</si>
  <si>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</si>
  <si>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</si>
  <si>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</si>
  <si>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</si>
  <si>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</si>
  <si>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</si>
  <si>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</si>
  <si>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</si>
  <si>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</si>
  <si>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</si>
  <si>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</si>
  <si>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</si>
  <si>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</si>
  <si>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</si>
  <si>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</si>
  <si>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</si>
  <si>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</si>
  <si>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</si>
  <si>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</si>
  <si>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</si>
  <si>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</si>
  <si>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</si>
  <si>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</si>
  <si>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</si>
  <si>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</si>
  <si>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</si>
  <si>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</si>
  <si>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</si>
  <si>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</si>
  <si>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</si>
  <si>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</si>
  <si>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</si>
  <si>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</si>
  <si>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</si>
  <si>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</si>
  <si>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</si>
  <si>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</si>
  <si>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</si>
  <si>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</si>
  <si>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</si>
  <si>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</si>
  <si>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</si>
  <si>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</si>
  <si>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</si>
  <si>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</si>
  <si>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</si>
  <si>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</si>
  <si>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</si>
  <si>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</si>
  <si>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</si>
  <si>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</si>
  <si>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</si>
  <si>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</si>
  <si>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</si>
  <si>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</si>
  <si>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</si>
  <si>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</si>
  <si>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</si>
  <si>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</si>
  <si>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</si>
  <si>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</si>
  <si>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</si>
  <si>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</si>
  <si>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</si>
  <si>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</si>
  <si>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</si>
  <si>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</si>
  <si>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</si>
  <si>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</si>
  <si>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</si>
  <si>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</si>
  <si>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</si>
  <si>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</si>
  <si>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</si>
  <si>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</si>
  <si>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</si>
  <si>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</si>
  <si>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</si>
  <si>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</si>
  <si>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</si>
  <si>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</si>
  <si>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</si>
  <si>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</si>
  <si>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</si>
  <si>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</si>
  <si>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</si>
  <si>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</si>
  <si>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</si>
  <si>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</si>
  <si>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</si>
  <si>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</si>
  <si>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</si>
  <si>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</si>
  <si>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</si>
  <si>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</si>
  <si>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</si>
  <si>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</si>
  <si>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</si>
  <si>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</si>
  <si>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</si>
  <si>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</si>
  <si>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</si>
  <si>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</si>
  <si>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</si>
  <si>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</si>
  <si>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</si>
  <si>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</si>
  <si>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</si>
  <si>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</si>
  <si>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</si>
  <si>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</si>
  <si>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</si>
  <si>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</si>
  <si>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</si>
  <si>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</si>
  <si>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</si>
  <si>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</si>
  <si>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</si>
  <si>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</si>
  <si>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</si>
  <si>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</si>
  <si>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</si>
  <si>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</si>
  <si>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</si>
  <si>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</si>
  <si>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</si>
  <si>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</si>
  <si>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</si>
  <si>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</si>
  <si>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</si>
  <si>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</si>
  <si>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</si>
  <si>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</si>
  <si>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</si>
  <si>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</si>
  <si>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</si>
  <si>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</si>
  <si>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</si>
  <si>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</si>
  <si>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</si>
  <si>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</si>
  <si>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</si>
  <si>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</si>
  <si>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</si>
  <si>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</si>
  <si>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</si>
  <si>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</si>
  <si>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</si>
  <si>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</si>
  <si>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</si>
  <si>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</si>
  <si>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</si>
  <si>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</si>
  <si>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</si>
  <si>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</si>
  <si>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</si>
  <si>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</si>
  <si>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</si>
  <si>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</si>
  <si>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</si>
  <si>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</si>
  <si>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</si>
  <si>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</si>
  <si>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</si>
  <si>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</si>
  <si>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</si>
  <si>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</si>
  <si>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</si>
  <si>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</si>
  <si>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</si>
  <si>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</si>
  <si>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</si>
  <si>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</si>
  <si>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</si>
  <si>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</si>
  <si>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</si>
  <si>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</si>
  <si>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</si>
  <si>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</si>
  <si>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</si>
  <si>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</si>
  <si>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</si>
  <si>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</si>
  <si>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</si>
  <si>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</si>
  <si>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</si>
  <si>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</si>
  <si>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</si>
  <si>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</si>
  <si>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</si>
  <si>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</si>
  <si>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</si>
  <si>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</si>
  <si>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</si>
  <si>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</si>
  <si>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</si>
  <si>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</si>
  <si>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</si>
  <si>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</si>
  <si>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</si>
  <si>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</si>
  <si>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</si>
  <si>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</si>
  <si>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</si>
  <si>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</si>
  <si>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</si>
  <si>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</si>
  <si>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</si>
  <si>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</si>
  <si>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</si>
  <si>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</si>
  <si>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</si>
  <si>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</si>
  <si>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</si>
  <si>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</si>
  <si>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</si>
  <si>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</si>
  <si>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</si>
  <si>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</si>
  <si>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</si>
  <si>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</si>
  <si>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</si>
  <si>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</si>
  <si>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</si>
  <si>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</si>
  <si>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</si>
  <si>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</si>
  <si>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</si>
  <si>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</si>
  <si>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</si>
  <si>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</si>
  <si>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</si>
  <si>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</si>
  <si>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</si>
  <si>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</si>
  <si>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</si>
  <si>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</si>
  <si>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</si>
  <si>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</si>
  <si>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</si>
  <si>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</si>
  <si>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</si>
  <si>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</si>
  <si>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</si>
  <si>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</si>
  <si>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</si>
  <si>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</si>
  <si>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</si>
  <si>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</si>
  <si>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</si>
  <si>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</si>
  <si>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</si>
  <si>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</si>
  <si>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</si>
  <si>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</si>
  <si>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</si>
  <si>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</si>
  <si>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</si>
  <si>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</si>
  <si>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</si>
  <si>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</si>
  <si>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</si>
  <si>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</si>
  <si>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</si>
  <si>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</si>
  <si>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</si>
  <si>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</si>
  <si>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</si>
  <si>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</si>
  <si>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</si>
  <si>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</si>
  <si>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</si>
  <si>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</si>
  <si>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</si>
  <si>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</si>
  <si>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</si>
  <si>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</si>
  <si>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</si>
  <si>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</si>
  <si>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</si>
  <si>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</si>
  <si>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</si>
  <si>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</si>
  <si>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</si>
  <si>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</si>
  <si>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</si>
  <si>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</si>
  <si>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</si>
  <si>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</si>
  <si>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</si>
  <si>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</si>
  <si>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</si>
  <si>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</si>
  <si>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</si>
  <si>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</si>
  <si>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</si>
  <si>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</si>
  <si>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</si>
  <si>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</si>
  <si>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</si>
  <si>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</si>
  <si>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</si>
  <si>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</si>
  <si>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</si>
  <si>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</si>
  <si>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</si>
  <si>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</si>
  <si>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</si>
  <si>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</si>
  <si>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</si>
  <si>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</si>
  <si>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</si>
  <si>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</si>
  <si>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</si>
  <si>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</si>
  <si>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</si>
  <si>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</si>
  <si>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</si>
  <si>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</si>
  <si>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</si>
  <si>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</si>
  <si>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</si>
  <si>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</si>
  <si>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</si>
  <si>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</si>
  <si>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</si>
  <si>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</si>
  <si>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</si>
  <si>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</si>
  <si>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</si>
  <si>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</si>
  <si>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</si>
  <si>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</si>
  <si>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</si>
  <si>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</si>
  <si>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</si>
  <si>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</si>
  <si>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</si>
  <si>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</si>
  <si>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</si>
  <si>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</si>
  <si>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</si>
  <si>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</si>
  <si>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</si>
  <si>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</si>
  <si>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</si>
  <si>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</si>
  <si>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</si>
  <si>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</si>
  <si>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</si>
  <si>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</si>
  <si>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</si>
  <si>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</si>
  <si>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</si>
  <si>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</si>
  <si>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</si>
  <si>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</si>
  <si>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</si>
  <si>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</si>
  <si>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</si>
  <si>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</si>
  <si>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</si>
  <si>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</si>
  <si>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</si>
  <si>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</si>
  <si>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</si>
  <si>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</si>
  <si>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</si>
  <si>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</si>
  <si>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</si>
  <si>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</si>
  <si>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</si>
  <si>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</si>
  <si>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</si>
  <si>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</si>
  <si>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</si>
  <si>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</si>
  <si>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</si>
  <si>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</si>
  <si>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</si>
  <si>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</si>
  <si>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</si>
  <si>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</si>
  <si>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</si>
  <si>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</si>
  <si>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</si>
  <si>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</si>
  <si>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</si>
  <si>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</si>
  <si>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</si>
  <si>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</si>
  <si>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</si>
  <si>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</si>
  <si>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</si>
  <si>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</si>
  <si>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</si>
  <si>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</si>
  <si>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</si>
  <si>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</si>
  <si>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</si>
  <si>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</si>
  <si>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</si>
  <si>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</si>
  <si>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</si>
  <si>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</si>
  <si>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</si>
  <si>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</si>
  <si>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</si>
  <si>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</si>
  <si>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</si>
  <si>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</si>
  <si>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</si>
  <si>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</si>
  <si>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</si>
  <si>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</si>
  <si>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</si>
  <si>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</si>
  <si>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</si>
  <si>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</si>
  <si>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</si>
  <si>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</si>
  <si>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</si>
  <si>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</si>
  <si>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</si>
  <si>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</si>
  <si>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</si>
  <si>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</si>
  <si>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</si>
  <si>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</si>
  <si>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</si>
  <si>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</si>
  <si>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</si>
  <si>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</si>
  <si>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</si>
  <si>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</si>
  <si>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</si>
  <si>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</si>
  <si>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</si>
  <si>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</si>
  <si>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</si>
  <si>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</si>
  <si>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</si>
  <si>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</si>
  <si>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</si>
  <si>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</si>
  <si>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</si>
  <si>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</si>
  <si>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</si>
  <si>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</si>
  <si>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</si>
  <si>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</si>
  <si>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</si>
  <si>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</si>
  <si>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</si>
  <si>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</si>
  <si>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</si>
  <si>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</si>
  <si>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</si>
  <si>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</si>
  <si>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</si>
  <si>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</si>
  <si>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</si>
  <si>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</si>
  <si>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</si>
  <si>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</si>
  <si>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</si>
  <si>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</si>
  <si>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</si>
  <si>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</si>
  <si>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</si>
  <si>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</si>
  <si>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</si>
  <si>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</si>
  <si>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</si>
  <si>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</si>
  <si>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</si>
  <si>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</si>
  <si>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</si>
  <si>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</si>
  <si>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</si>
  <si>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</si>
  <si>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</si>
  <si>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</si>
  <si>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</si>
  <si>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</si>
  <si>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</si>
  <si>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</si>
  <si>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</si>
  <si>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</si>
  <si>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</si>
  <si>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</si>
  <si>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</si>
  <si>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</si>
  <si>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</si>
  <si>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</si>
  <si>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</si>
  <si>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</si>
  <si>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</si>
  <si>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</si>
  <si>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</si>
  <si>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</si>
  <si>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</si>
  <si>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</si>
  <si>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</si>
  <si>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</si>
  <si>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</si>
  <si>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</si>
  <si>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</si>
  <si>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</si>
  <si>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</si>
  <si>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</si>
  <si>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</si>
  <si>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</si>
  <si>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</si>
  <si>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</si>
  <si>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</si>
  <si>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</si>
  <si>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</si>
  <si>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</si>
  <si>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</si>
  <si>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</si>
  <si>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</si>
  <si>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</si>
  <si>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</si>
  <si>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</si>
  <si>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</si>
  <si>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</si>
  <si>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</si>
  <si>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</si>
  <si>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</si>
  <si>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</si>
  <si>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</si>
  <si>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</si>
  <si>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</si>
  <si>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</si>
  <si>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</si>
  <si>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</si>
  <si>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</si>
  <si>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</si>
  <si>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</si>
  <si>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</si>
  <si>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</si>
  <si>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</si>
  <si>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</si>
  <si>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</si>
  <si>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</si>
  <si>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</si>
  <si>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</si>
  <si>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</si>
  <si>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</si>
  <si>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</si>
  <si>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</si>
  <si>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</si>
  <si>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</si>
  <si>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</si>
  <si>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</si>
  <si>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</si>
  <si>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</si>
  <si>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</si>
  <si>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</si>
  <si>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</si>
  <si>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</si>
  <si>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</si>
  <si>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</si>
  <si>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</si>
  <si>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</si>
  <si>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</si>
  <si>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</si>
  <si>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</si>
  <si>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</si>
  <si>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</si>
  <si>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</si>
  <si>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</si>
  <si>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</si>
  <si>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</si>
  <si>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</si>
  <si>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</si>
  <si>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</si>
  <si>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</si>
  <si>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</si>
  <si>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</si>
  <si>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</si>
  <si>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</si>
  <si>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</si>
  <si>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</si>
  <si>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</si>
  <si>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</si>
  <si>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</si>
  <si>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</si>
  <si>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</si>
  <si>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</si>
  <si>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</si>
  <si>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</si>
  <si>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</si>
  <si>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</si>
  <si>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</si>
  <si>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</si>
  <si>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</si>
  <si>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</si>
  <si>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</si>
  <si>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</si>
  <si>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</si>
  <si>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</si>
  <si>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</si>
  <si>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</si>
  <si>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</si>
  <si>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</si>
  <si>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</si>
  <si>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</si>
  <si>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</si>
  <si>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</si>
  <si>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</si>
  <si>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</si>
  <si>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</si>
  <si>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</si>
  <si>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</si>
  <si>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</si>
  <si>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</si>
  <si>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</si>
  <si>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</si>
  <si>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</si>
  <si>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</si>
  <si>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</si>
  <si>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</si>
  <si>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</si>
  <si>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</si>
  <si>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</si>
  <si>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</si>
  <si>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</si>
  <si>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</si>
  <si>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</si>
  <si>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</si>
  <si>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</si>
  <si>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</si>
  <si>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</si>
  <si>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</si>
  <si>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</si>
  <si>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</si>
  <si>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</si>
  <si>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</si>
  <si>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</si>
  <si>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</si>
  <si>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</si>
  <si>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</si>
  <si>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</si>
  <si>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</si>
  <si>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</si>
  <si>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</si>
  <si>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</si>
  <si>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</si>
  <si>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</si>
  <si>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</si>
  <si>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</si>
  <si>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</si>
  <si>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</si>
  <si>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</si>
  <si>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</si>
  <si>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</si>
  <si>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</si>
  <si>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</si>
  <si>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</si>
  <si>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</si>
  <si>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</si>
  <si>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</si>
  <si>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</si>
  <si>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</si>
  <si>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</si>
  <si>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</si>
  <si>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</si>
  <si>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</si>
  <si>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</si>
  <si>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</si>
  <si>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</si>
  <si>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</si>
  <si>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</si>
  <si>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</si>
  <si>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</si>
  <si>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</si>
  <si>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</si>
  <si>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</si>
  <si>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</si>
  <si>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</si>
  <si>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</si>
  <si>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</si>
  <si>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</si>
  <si>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</si>
  <si>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</si>
  <si>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</si>
  <si>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</si>
  <si>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</si>
  <si>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</si>
  <si>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</si>
  <si>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</si>
  <si>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</si>
  <si>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</si>
  <si>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</si>
  <si>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</si>
  <si>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</si>
  <si>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</si>
  <si>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</si>
  <si>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</si>
  <si>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</si>
  <si>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</si>
  <si>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</si>
  <si>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</si>
  <si>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</si>
  <si>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</si>
  <si>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</si>
  <si>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</si>
  <si>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</si>
  <si>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</si>
  <si>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</si>
  <si>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</si>
  <si>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</si>
  <si>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</si>
  <si>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</si>
  <si>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</si>
  <si>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</si>
  <si>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</si>
  <si>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</si>
  <si>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</si>
  <si>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</si>
  <si>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</si>
  <si>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</si>
  <si>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</si>
  <si>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</si>
  <si>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</si>
  <si>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</si>
  <si>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</si>
  <si>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</si>
  <si>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</si>
  <si>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</si>
  <si>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</si>
  <si>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</si>
  <si>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</si>
  <si>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</si>
  <si>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</si>
  <si>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</si>
  <si>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</si>
  <si>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</si>
  <si>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</si>
  <si>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</si>
  <si>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</si>
  <si>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</si>
  <si>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</si>
  <si>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</si>
  <si>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</si>
  <si>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</si>
  <si>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</si>
  <si>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</si>
  <si>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</si>
  <si>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</si>
  <si>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</si>
  <si>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</si>
  <si>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</si>
  <si>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</si>
  <si>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</si>
  <si>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</si>
  <si>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</si>
  <si>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</si>
  <si>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</si>
  <si>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</si>
  <si>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</si>
  <si>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</si>
  <si>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</si>
  <si>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</si>
  <si>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</si>
  <si>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</si>
  <si>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</si>
  <si>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</si>
  <si>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</si>
  <si>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</si>
  <si>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</si>
  <si>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</si>
  <si>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</si>
  <si>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</si>
  <si>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</si>
  <si>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</si>
  <si>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</si>
  <si>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</si>
  <si>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</si>
  <si>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</si>
  <si>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</si>
  <si>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</si>
  <si>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</si>
  <si>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</si>
  <si>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</si>
  <si>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</si>
  <si>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</si>
  <si>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</si>
  <si>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</si>
  <si>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</si>
  <si>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</si>
  <si>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</si>
  <si>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</si>
  <si>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</si>
  <si>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</si>
  <si>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</si>
  <si>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</si>
  <si>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</si>
  <si>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</si>
  <si>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</si>
  <si>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</si>
  <si>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</si>
  <si>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</si>
  <si>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</si>
  <si>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</si>
  <si>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</si>
  <si>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</si>
  <si>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</si>
  <si>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</si>
  <si>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</si>
  <si>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</si>
  <si>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</si>
  <si>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</si>
  <si>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</si>
  <si>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</si>
  <si>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</si>
  <si>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</si>
  <si>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</si>
  <si>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</si>
  <si>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</si>
  <si>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</si>
  <si>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</si>
  <si>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</si>
  <si>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</si>
  <si>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</si>
  <si>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</si>
  <si>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</si>
  <si>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</si>
  <si>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</si>
  <si>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</si>
  <si>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</si>
  <si>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</si>
  <si>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</si>
  <si>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</si>
  <si>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</si>
  <si>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</si>
  <si>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</si>
  <si>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</si>
  <si>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</si>
  <si>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</si>
  <si>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</si>
  <si>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</si>
  <si>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</si>
  <si>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</si>
  <si>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</si>
  <si>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</si>
  <si>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</si>
  <si>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</si>
  <si>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</si>
  <si>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</si>
  <si>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</si>
  <si>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</si>
  <si>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</si>
  <si>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</si>
  <si>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</si>
  <si>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</si>
  <si>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</si>
  <si>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</si>
  <si>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</si>
  <si>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</si>
  <si>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</si>
  <si>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</si>
  <si>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</si>
  <si>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</si>
  <si>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</si>
  <si>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</si>
  <si>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</si>
  <si>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</si>
  <si>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</si>
  <si>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</si>
  <si>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</si>
  <si>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</si>
  <si>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</si>
  <si>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</si>
  <si>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</si>
  <si>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</si>
  <si>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</si>
  <si>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</si>
  <si>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</si>
  <si>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</si>
  <si>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</si>
  <si>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</si>
  <si>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</si>
  <si>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</si>
  <si>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</si>
  <si>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</si>
  <si>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</si>
  <si>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</si>
  <si>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</si>
  <si>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</si>
  <si>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</si>
  <si>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</si>
  <si>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</si>
  <si>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</si>
  <si>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</si>
  <si>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</si>
  <si>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</si>
  <si>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</si>
  <si>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</si>
  <si>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</si>
  <si>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</si>
  <si>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</si>
  <si>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</si>
  <si>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</si>
  <si>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</si>
  <si>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</si>
  <si>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</si>
  <si>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</si>
  <si>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</si>
  <si>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</si>
  <si>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</si>
  <si>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</si>
  <si>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</si>
  <si>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</si>
  <si>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</si>
  <si>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</si>
  <si>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</si>
  <si>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</si>
  <si>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</si>
  <si>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</si>
  <si>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</si>
  <si>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</si>
  <si>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</si>
  <si>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</si>
  <si>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</si>
  <si>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</si>
  <si>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</si>
  <si>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</si>
  <si>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</si>
  <si>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</si>
  <si>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</si>
  <si>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</si>
  <si>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</si>
  <si>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</si>
  <si>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</si>
  <si>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</si>
  <si>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</si>
  <si>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</si>
  <si>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</si>
  <si>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</si>
  <si>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</si>
  <si>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</si>
  <si>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</si>
  <si>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</si>
  <si>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</si>
  <si>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</si>
  <si>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</si>
  <si>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</si>
  <si>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</si>
  <si>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</si>
  <si>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</si>
  <si>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</si>
  <si>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</si>
  <si>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</si>
  <si>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</si>
  <si>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</si>
  <si>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</si>
  <si>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</si>
  <si>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</si>
  <si>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</si>
  <si>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</si>
  <si>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</si>
  <si>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</si>
  <si>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</si>
  <si>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</si>
  <si>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</si>
  <si>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</si>
  <si>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</si>
  <si>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</si>
  <si>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</si>
  <si>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</si>
  <si>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</si>
  <si>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</si>
  <si>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</si>
  <si>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</si>
  <si>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</si>
  <si>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</si>
  <si>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</si>
  <si>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</si>
  <si>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</si>
  <si>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</si>
  <si>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</si>
  <si>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</si>
  <si>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</si>
  <si>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</si>
  <si>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</si>
  <si>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</si>
  <si>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</si>
  <si>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</si>
  <si>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</si>
  <si>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</si>
  <si>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</si>
  <si>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</si>
  <si>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</si>
  <si>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</si>
  <si>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</si>
  <si>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</si>
  <si>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</si>
  <si>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</si>
  <si>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</si>
  <si>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</si>
  <si>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</si>
  <si>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</si>
  <si>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</si>
  <si>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</si>
  <si>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</si>
  <si>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</si>
  <si>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</si>
  <si>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</si>
  <si>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</si>
  <si>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</si>
  <si>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</si>
  <si>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</si>
  <si>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</si>
  <si>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</si>
  <si>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</si>
  <si>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</si>
  <si>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</si>
  <si>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</si>
  <si>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</si>
  <si>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</si>
  <si>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</si>
  <si>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</si>
  <si>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</si>
  <si>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</si>
  <si>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</si>
  <si>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</si>
  <si>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</si>
  <si>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</si>
  <si>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</si>
  <si>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</si>
  <si>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</si>
  <si>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</si>
  <si>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</si>
  <si>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</si>
  <si>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</si>
  <si>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</si>
  <si>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</si>
  <si>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</si>
  <si>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</si>
  <si>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</si>
  <si>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</si>
  <si>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</si>
  <si>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</si>
  <si>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</si>
  <si>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4.1.</t>
  </si>
  <si>
    <t xml:space="preserve">План на 2021 год 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</si>
  <si>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</si>
  <si>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</si>
  <si>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</si>
  <si>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</si>
  <si>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</si>
  <si>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</si>
  <si>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</si>
  <si>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</si>
  <si>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</si>
  <si>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</si>
  <si>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</si>
  <si>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</si>
  <si>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</si>
  <si>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</si>
  <si>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</si>
  <si>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</si>
  <si>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</si>
  <si>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</si>
  <si>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</si>
  <si>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</si>
  <si>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</si>
  <si>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</si>
  <si>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</si>
  <si>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</si>
  <si>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</si>
  <si>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</si>
  <si>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</si>
  <si>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</si>
  <si>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</si>
  <si>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</si>
  <si>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</si>
  <si>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</si>
  <si>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</si>
  <si>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</si>
  <si>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</si>
  <si>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</si>
  <si>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</si>
  <si>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</si>
  <si>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</si>
  <si>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</si>
  <si>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</si>
  <si>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</si>
  <si>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</si>
  <si>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</si>
  <si>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</si>
  <si>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</si>
  <si>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</si>
  <si>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</si>
  <si>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</si>
  <si>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</si>
  <si>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</si>
  <si>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</si>
  <si>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</si>
  <si>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</si>
  <si>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</si>
  <si>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</si>
  <si>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</si>
  <si>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</si>
  <si>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</si>
  <si>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</si>
  <si>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</si>
  <si>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</si>
  <si>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</si>
  <si>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</si>
  <si>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</si>
  <si>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</si>
  <si>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</si>
  <si>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</si>
  <si>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</si>
  <si>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</si>
  <si>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</si>
  <si>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</si>
  <si>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</si>
  <si>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</si>
  <si>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</si>
  <si>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</si>
  <si>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</si>
  <si>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</si>
  <si>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</si>
  <si>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</si>
  <si>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</si>
  <si>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</si>
  <si>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</si>
  <si>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</si>
  <si>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</si>
  <si>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</si>
  <si>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</si>
  <si>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</si>
  <si>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</si>
  <si>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</si>
  <si>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</si>
  <si>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</si>
  <si>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</si>
  <si>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</si>
  <si>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</si>
  <si>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</si>
  <si>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</si>
  <si>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</si>
  <si>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</si>
  <si>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</si>
  <si>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</si>
  <si>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</si>
  <si>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</si>
  <si>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</si>
  <si>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</si>
  <si>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</si>
  <si>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</si>
  <si>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</si>
  <si>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</si>
  <si>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</si>
  <si>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</si>
  <si>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</si>
  <si>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</si>
  <si>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</si>
  <si>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</si>
  <si>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</si>
  <si>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</si>
  <si>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</si>
  <si>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</si>
  <si>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</si>
  <si>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</si>
  <si>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</si>
  <si>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</si>
  <si>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</si>
  <si>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</si>
  <si>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</si>
  <si>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</si>
  <si>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</si>
  <si>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</si>
  <si>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</si>
  <si>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</si>
  <si>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</si>
  <si>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</si>
  <si>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</si>
  <si>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</si>
  <si>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</si>
  <si>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</si>
  <si>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</si>
  <si>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</si>
  <si>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</si>
  <si>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</si>
  <si>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</si>
  <si>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</si>
  <si>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</si>
  <si>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</si>
  <si>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</si>
  <si>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</si>
  <si>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</si>
  <si>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</si>
  <si>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</si>
  <si>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</si>
  <si>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</si>
  <si>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</si>
  <si>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</si>
  <si>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</si>
  <si>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</si>
  <si>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</si>
  <si>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</si>
  <si>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</si>
  <si>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</si>
  <si>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</si>
  <si>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</si>
  <si>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</si>
  <si>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</si>
  <si>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</si>
  <si>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</si>
  <si>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</si>
  <si>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</si>
  <si>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</si>
  <si>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</si>
  <si>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</si>
  <si>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</si>
  <si>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</si>
  <si>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</si>
  <si>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</si>
  <si>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</si>
  <si>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</si>
  <si>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</si>
  <si>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</si>
  <si>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</si>
  <si>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</si>
  <si>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</si>
  <si>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</si>
  <si>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</si>
  <si>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</si>
  <si>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</si>
  <si>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</si>
  <si>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</si>
  <si>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</si>
  <si>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</si>
  <si>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</si>
  <si>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</si>
  <si>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</si>
  <si>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</si>
  <si>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</si>
  <si>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</si>
  <si>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</si>
  <si>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</si>
  <si>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</si>
  <si>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</si>
  <si>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</si>
  <si>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</si>
  <si>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</si>
  <si>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</si>
  <si>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</si>
  <si>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</si>
  <si>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</si>
  <si>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</si>
  <si>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</si>
  <si>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</si>
  <si>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</si>
  <si>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</si>
  <si>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</si>
  <si>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</si>
  <si>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</si>
  <si>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</si>
  <si>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</si>
  <si>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</si>
  <si>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</si>
  <si>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</si>
  <si>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</si>
  <si>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</si>
  <si>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</si>
  <si>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</si>
  <si>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</si>
  <si>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</si>
  <si>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</si>
  <si>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</si>
  <si>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</si>
  <si>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</si>
  <si>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</si>
  <si>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</si>
  <si>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</si>
  <si>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</si>
  <si>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</si>
  <si>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</si>
  <si>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</si>
  <si>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</si>
  <si>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</si>
  <si>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</si>
  <si>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</si>
  <si>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</si>
  <si>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</si>
  <si>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</si>
  <si>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</si>
  <si>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</si>
  <si>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</si>
  <si>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</si>
  <si>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52 3 E1 51691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</si>
  <si>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</si>
  <si>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</si>
  <si>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</si>
  <si>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</si>
  <si>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</si>
  <si>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Специальные расходы</t>
  </si>
  <si>
    <t>880</t>
  </si>
  <si>
    <t xml:space="preserve">Мероприятия, связанные с обеспечением санитарно-эпидимеологической безопасности при подготовке к проведению общероссийского голосования </t>
  </si>
  <si>
    <t>2 03 04099 04 0000 150</t>
  </si>
  <si>
    <t>Прочие безвозмездные поступления от государственных (муниципальных) организаций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</si>
  <si>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>Прочие безвозмездные поступления от государственных (муниципальных) организаций в бюджеты городских округов</t>
  </si>
  <si>
    <t>02 0 02 01950</t>
  </si>
  <si>
    <t xml:space="preserve"> Бюджетные инвестиции в объекты капитального строительства государственной (муниципальной) собственности</t>
  </si>
  <si>
    <t>52 4 01 20030</t>
  </si>
  <si>
    <t>Целевые субсидии на оплату контейнера</t>
  </si>
  <si>
    <t>52 4 02 20070</t>
  </si>
  <si>
    <t>52 3 06 00000</t>
  </si>
  <si>
    <t>52 3 06 S2110</t>
  </si>
  <si>
    <t>52 3 06 22110</t>
  </si>
  <si>
    <t>Основное мероприятие " Мероприятия по предупреждению и борьбе с короновирусом"</t>
  </si>
  <si>
    <t>Целевые субсидии на осуществление мероприятий по предупреждению и борьбе с короновирусом в общеобразовательных учреждениях</t>
  </si>
  <si>
    <t>Мероприятия по предупреждению и борьбе с короновирусом в общеобразовательных учреждениях</t>
  </si>
  <si>
    <t>52 3 07 00000</t>
  </si>
  <si>
    <t>52 3 07 S2050</t>
  </si>
  <si>
    <t>52 3 07 92050</t>
  </si>
  <si>
    <t>Основное мероприятие " Модернизация пищеблоков общеобразовательных организаций"</t>
  </si>
  <si>
    <t>Целевые субсидии на модернизацию пищеблоков общеобразовательных организаций</t>
  </si>
  <si>
    <t>Модернизация пищеблоков общеобразовательных организаций</t>
  </si>
  <si>
    <t>Основное мероприятие " Организация бесплатного горячего питания обучающихся"</t>
  </si>
  <si>
    <t>52 3 08 00000</t>
  </si>
  <si>
    <t>Целевые субсидии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</si>
  <si>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3 08 S3040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</si>
  <si>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</si>
  <si>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3 08 S3040</t>
  </si>
  <si>
    <t xml:space="preserve">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</si>
  <si>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</si>
  <si>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</si>
  <si>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</si>
  <si>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2 02 25304 00 0000 150
</t>
  </si>
  <si>
    <t>Субсидии бюджетам городских округов на реализацию мероприятий по предупреждению и борьбе с коронавирусом на территории Магаданской области в общеобразовательных учреждениях в рамках подпрограммы "Развитие общего образования в Магаданской области"государственной программы Магаданской области" Развитие образования в Магаданской области"</t>
  </si>
  <si>
    <t xml:space="preserve">Субсидии бюджетам городских округов на  модернизацию пищеблоков общеобразовательных учреждений Магаданской области в рамках подпрограммы "Развитие общего образования в Магаданской области" государственной программы Магаданской области" Развитие образования в Магаданской области" </t>
  </si>
  <si>
    <t>52 3 05 73443</t>
  </si>
  <si>
    <t xml:space="preserve">52 3 08 L3040 </t>
  </si>
  <si>
    <t>52 3 08 L3040</t>
  </si>
  <si>
    <t>(-874)</t>
  </si>
  <si>
    <t>(+874)</t>
  </si>
  <si>
    <t>02 0 02 61090</t>
  </si>
  <si>
    <t xml:space="preserve">Обеспечение организации электро-тепло- и водоснабжения населения, водоотведения, снабжение населения топливом, а также создание безопасных и благоприятных условий проживания граждан  </t>
  </si>
  <si>
    <t xml:space="preserve">Субсидии бюджетам городских округов на реализацию мероприятий в рамках подпрограммы «Государственная поддержка коммунального хозяйства Магаданской области»  государственной программы Магаданской области «Обеспечение доступным и комфортным жильём жителей Магаданской области» 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</si>
  <si>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</si>
  <si>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</si>
  <si>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2 02 45160 00 0000 150
</t>
  </si>
  <si>
    <t xml:space="preserve">2 02 45160 04 0000 150
</t>
  </si>
  <si>
    <t>58 1 02 17010</t>
  </si>
  <si>
    <t>244</t>
  </si>
  <si>
    <t>Расходы за счет средств резервного фонда Правительства Магаданской области для поощрения победителей ежегодного областного конкурса</t>
  </si>
  <si>
    <t xml:space="preserve">2 02 16549 00 0000 150
</t>
  </si>
  <si>
    <t xml:space="preserve">2 02 16549 04 0000 150
</t>
  </si>
  <si>
    <t>Достижение показателей деятельности органов местного самоуправления</t>
  </si>
  <si>
    <t xml:space="preserve">01 </t>
  </si>
  <si>
    <t>01 0 02 55491</t>
  </si>
  <si>
    <t>01 0 03 55491</t>
  </si>
  <si>
    <t>01 0 01 55491</t>
  </si>
  <si>
    <t>Распределение ассигнований, направляемых на исполнение публичных нормативных обязательств на плановый период 2021-2022 годов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</si>
  <si>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</t>
  </si>
  <si>
    <t>01 0 03 58790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</si>
  <si>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</si>
  <si>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 xml:space="preserve"> 2 02 49001 04 0000 150</t>
  </si>
  <si>
    <t xml:space="preserve"> 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</si>
  <si>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</si>
  <si>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 xml:space="preserve">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</si>
  <si>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Приложение № 1</t>
  </si>
  <si>
    <t xml:space="preserve">План поступления доходов в </t>
  </si>
  <si>
    <t xml:space="preserve">              от 25.12.2020г. № 26  </t>
  </si>
  <si>
    <t xml:space="preserve">          к решению СПОГО</t>
  </si>
  <si>
    <t xml:space="preserve">         Приложение № 1.1</t>
  </si>
  <si>
    <t>от 25.12.2020г. № 26</t>
  </si>
  <si>
    <t xml:space="preserve">от  25.12.2020г. № 26 </t>
  </si>
  <si>
    <t xml:space="preserve">          от 25.12.2020г. № 26 </t>
  </si>
  <si>
    <t xml:space="preserve">       к решению СПОГО</t>
  </si>
  <si>
    <t xml:space="preserve">       Приложение № 5.1.</t>
  </si>
  <si>
    <t>Приложение № 7.1.</t>
  </si>
  <si>
    <t>План на 2020 год, тыс.руб.</t>
  </si>
  <si>
    <t>Исполнено за 2020 год, тыс.руб.</t>
  </si>
  <si>
    <t>Процент исполнения, %</t>
  </si>
  <si>
    <t>План на 2020 год , тыс.руб.</t>
  </si>
  <si>
    <t>Исполнеено за 2020 год, тыс.руб.</t>
  </si>
  <si>
    <t xml:space="preserve">Исполнение поступления доходов в </t>
  </si>
  <si>
    <t>бюджет Омсукчанского городского огруга за 2020 год</t>
  </si>
  <si>
    <t>Исполнение распределения бюджетных ассигнований</t>
  </si>
  <si>
    <t xml:space="preserve"> расходов бюджетов Российской Федерации за  2020 год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</si>
  <si>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2020 год</t>
  </si>
  <si>
    <t>Исполнение по источникам внутреннего финансирования дефицита</t>
  </si>
  <si>
    <t>бюджета Омсукчанского городского округа  за 2020 год</t>
  </si>
  <si>
    <t>Приложение № 2</t>
  </si>
  <si>
    <t xml:space="preserve">Исполнение ведомственной  структуры расходов бюджета Омсукчанского городского округа за 2020 год </t>
  </si>
  <si>
    <t>Исполнение распределения бюджетных ассигнований, направляемых на реализацию муниципальных программ  Омсукчанского городского округа за 2020 год</t>
  </si>
  <si>
    <t>Приложение № 7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</si>
  <si>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</si>
  <si>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</si>
  <si>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1 11 05324 04 0000 120</t>
  </si>
  <si>
    <t>1 17 01040 04 0000 180</t>
  </si>
  <si>
    <t>Невыясненные поступления</t>
  </si>
  <si>
    <t>1 12 01 040 01 0000 120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</si>
  <si>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</si>
  <si>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</si>
  <si>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1 08 07150 01 0000 110</t>
  </si>
  <si>
    <t>1 08 07000 01 0000 110</t>
  </si>
  <si>
    <t>-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</si>
  <si>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</si>
  <si>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</si>
  <si>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округов,государственными или муниципальными предприятиями либо государственными или муниципальными учреждениямив отношении земельных участков,находящихся в собственности городсктх округов</t>
  </si>
  <si>
    <t>1 13 02994 04 0000 130</t>
  </si>
  <si>
    <t>1 13 02000 00 0000 130</t>
  </si>
  <si>
    <t>1 16 01150 01 0000 140</t>
  </si>
  <si>
    <t>1 16  01153 01 9000 140</t>
  </si>
  <si>
    <t>1 16 07010 00 0000 140</t>
  </si>
  <si>
    <t>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</si>
  <si>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</si>
  <si>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</si>
  <si>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</si>
  <si>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</si>
  <si>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1 16 11000 01 0000 140</t>
  </si>
  <si>
    <t xml:space="preserve">Платежи, уплачиваемые в целях возмещения вреда
</t>
  </si>
  <si>
    <t>1 16 11030 01 0000 140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</si>
  <si>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
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</si>
  <si>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</si>
  <si>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</si>
  <si>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1 16 101230010000140</t>
  </si>
  <si>
    <t>Доходы от денежных взысканий (штрафов), поступающие в счет погашения задолженности, образовавшейся до 1 января 2020 года</t>
  </si>
  <si>
    <t>1 16 101290010000140</t>
  </si>
  <si>
    <t>Штрафы поступающие в счет погашения задолженности, образовавшейся до 1 января 2020 года</t>
  </si>
  <si>
    <t>1 17 01000 04 0000 180</t>
  </si>
  <si>
    <t>Невыясненные поступления, зачисляемые в бюджеты городских округов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</si>
  <si>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</si>
  <si>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</si>
  <si>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</si>
  <si>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</si>
  <si>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4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</si>
  <si>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</si>
  <si>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</si>
  <si>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</si>
  <si>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Дотации (гранты) бюджетам городских округов за достижение показателей деятельности органов местного самоуправления</t>
  </si>
  <si>
    <t>Дотации (гранты) бюджетам за достижение показателей деятельности органов местного самоуправления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</si>
  <si>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</si>
  <si>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</si>
  <si>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</si>
  <si>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</si>
  <si>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</si>
  <si>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                                                                                                                           от 15.04.2021г. № 10</t>
  </si>
  <si>
    <t xml:space="preserve">от 15.04.2021г. № 10        </t>
  </si>
  <si>
    <t xml:space="preserve">        Приложение № 3</t>
  </si>
  <si>
    <t xml:space="preserve">  к решению СПОГО</t>
  </si>
  <si>
    <t xml:space="preserve">   от 15.04.2021г. № 10     </t>
  </si>
  <si>
    <t xml:space="preserve">от 15.04.2021г. № 10  </t>
  </si>
  <si>
    <t xml:space="preserve">                                  от 15.04.2021г. № 10           </t>
  </si>
  <si>
    <t>Исполнение распределения бюджетных ассигнований, направляемых на исполнение публичных нормативных обязательств за 2020 год</t>
  </si>
  <si>
    <t xml:space="preserve">                    от 15.04.2021 г. № 10    </t>
  </si>
  <si>
    <t xml:space="preserve">  Приложение № 6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</si>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</sst>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"/>
  </numFmts>
  <fonts count="4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3" fillId="0" borderId="0" xfId="0" applyNumberFormat="1" applyFont="1" applyFill="1" applyAlignment="1">
      <alignment horizontal="right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4" fontId="13" fillId="2" borderId="0" xfId="1" applyNumberFormat="1" applyFont="1" applyFill="1" applyAlignment="1">
      <alignment horizontal="center"/>
    </xf>
    <xf numFmtId="165" fontId="11" fillId="0" borderId="2" xfId="1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34" fillId="0" borderId="3" xfId="0" applyFont="1" applyFill="1" applyBorder="1" applyAlignment="1">
      <alignment horizontal="right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2" fillId="0" borderId="8" xfId="0" applyNumberFormat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horizont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8" fillId="0" borderId="0" xfId="1" applyNumberFormat="1" applyFont="1" applyFill="1"/>
    <xf numFmtId="165" fontId="9" fillId="0" borderId="0" xfId="1" applyNumberFormat="1" applyFill="1"/>
    <xf numFmtId="0" fontId="13" fillId="0" borderId="0" xfId="1" applyFont="1" applyFill="1" applyAlignment="1">
      <alignment horizontal="right"/>
    </xf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wrapText="1"/>
    </xf>
    <xf numFmtId="0" fontId="1" fillId="0" borderId="13" xfId="1" applyFont="1" applyFill="1" applyBorder="1" applyAlignment="1">
      <alignment vertical="center" wrapText="1"/>
    </xf>
    <xf numFmtId="0" fontId="0" fillId="0" borderId="0" xfId="0"/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165" fontId="13" fillId="7" borderId="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1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0" borderId="2" xfId="1" applyFont="1" applyFill="1" applyBorder="1" applyAlignment="1">
      <alignment vertical="center" wrapText="1"/>
    </xf>
    <xf numFmtId="165" fontId="1" fillId="7" borderId="2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8" fillId="0" borderId="0" xfId="0" applyNumberFormat="1" applyFont="1" applyFill="1"/>
    <xf numFmtId="165" fontId="21" fillId="0" borderId="2" xfId="0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Alignment="1">
      <alignment horizontal="center"/>
    </xf>
    <xf numFmtId="165" fontId="14" fillId="0" borderId="0" xfId="1" applyNumberFormat="1" applyFont="1" applyFill="1"/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5" fontId="13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0" xfId="0" applyNumberFormat="1" applyFont="1" applyFill="1" applyAlignment="1"/>
    <xf numFmtId="0" fontId="1" fillId="0" borderId="0" xfId="1" applyFont="1" applyFill="1" applyAlignment="1"/>
    <xf numFmtId="0" fontId="0" fillId="7" borderId="0" xfId="0" applyNumberFormat="1" applyFill="1"/>
    <xf numFmtId="0" fontId="2" fillId="2" borderId="3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 applyFill="1"/>
    <xf numFmtId="0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NumberFormat="1" applyFill="1"/>
    <xf numFmtId="0" fontId="2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/>
    <xf numFmtId="165" fontId="13" fillId="0" borderId="11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" fontId="28" fillId="0" borderId="0" xfId="0" applyNumberFormat="1" applyFont="1" applyFill="1"/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justify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right" vertical="center" wrapText="1"/>
    </xf>
    <xf numFmtId="0" fontId="1" fillId="0" borderId="3" xfId="1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" fillId="0" borderId="0" xfId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Финансовый" xfId="2" builtinId="3"/>
    <cellStyle name="Финансовый 2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0"/>
  <sheetViews>
    <sheetView view="pageBreakPreview" topLeftCell="A169" zoomScale="75" zoomScaleNormal="95" zoomScaleSheetLayoutView="75" workbookViewId="0">
      <selection activeCell="A5" sqref="A5:E5"/>
    </sheetView>
  </sheetViews>
  <sheetFormatPr defaultColWidth="9.140625" defaultRowHeight="15" x14ac:dyDescent="0.25"/>
  <cols>
    <col min="1" max="1" width="23.7109375" style="129" customWidth="1"/>
    <col min="2" max="2" width="77.5703125" style="129" customWidth="1"/>
    <col min="3" max="3" width="13.7109375" style="356" customWidth="1"/>
    <col min="4" max="5" width="13.42578125" style="356" customWidth="1"/>
    <col min="6" max="6" width="15.85546875" style="129" customWidth="1"/>
    <col min="7" max="7" width="9.140625" style="129"/>
    <col min="8" max="8" width="17" style="129" customWidth="1"/>
    <col min="9" max="16384" width="9.140625" style="129"/>
  </cols>
  <sheetData>
    <row r="1" spans="1:6" ht="15" customHeight="1" x14ac:dyDescent="0.25">
      <c r="B1" s="131"/>
      <c r="C1" s="131"/>
      <c r="D1" s="351"/>
      <c r="E1" s="423" t="s">
        <v>1595</v>
      </c>
    </row>
    <row r="2" spans="1:6" ht="15" customHeight="1" x14ac:dyDescent="0.25">
      <c r="B2" s="131"/>
      <c r="C2" s="131"/>
      <c r="D2" s="351"/>
      <c r="E2" s="423" t="s">
        <v>1594</v>
      </c>
    </row>
    <row r="3" spans="1:6" ht="15" customHeight="1" x14ac:dyDescent="0.25">
      <c r="B3" s="131"/>
      <c r="C3" s="131"/>
      <c r="D3" s="351"/>
      <c r="E3" s="423" t="s">
        <v>1673</v>
      </c>
    </row>
    <row r="4" spans="1:6" ht="15.75" x14ac:dyDescent="0.25">
      <c r="B4" s="131"/>
      <c r="C4" s="130"/>
      <c r="D4" s="422"/>
      <c r="E4" s="130"/>
    </row>
    <row r="5" spans="1:6" ht="15.75" x14ac:dyDescent="0.25">
      <c r="A5" s="429" t="s">
        <v>1611</v>
      </c>
      <c r="B5" s="429"/>
      <c r="C5" s="429"/>
      <c r="D5" s="429"/>
      <c r="E5" s="429"/>
    </row>
    <row r="6" spans="1:6" ht="15.75" x14ac:dyDescent="0.25">
      <c r="A6" s="429" t="s">
        <v>1612</v>
      </c>
      <c r="B6" s="429"/>
      <c r="C6" s="429"/>
      <c r="D6" s="429"/>
      <c r="E6" s="429"/>
    </row>
    <row r="7" spans="1:6" ht="15.75" x14ac:dyDescent="0.25">
      <c r="A7" s="132"/>
      <c r="B7" s="132"/>
      <c r="C7" s="238"/>
      <c r="D7" s="421"/>
      <c r="E7" s="364"/>
    </row>
    <row r="8" spans="1:6" ht="47.25" x14ac:dyDescent="0.25">
      <c r="A8" s="133" t="s">
        <v>2</v>
      </c>
      <c r="B8" s="134" t="s">
        <v>3</v>
      </c>
      <c r="C8" s="232" t="s">
        <v>1606</v>
      </c>
      <c r="D8" s="233" t="s">
        <v>1610</v>
      </c>
      <c r="E8" s="232" t="s">
        <v>1608</v>
      </c>
    </row>
    <row r="9" spans="1:6" ht="18.75" x14ac:dyDescent="0.25">
      <c r="A9" s="135" t="s">
        <v>5</v>
      </c>
      <c r="B9" s="405" t="s">
        <v>6</v>
      </c>
      <c r="C9" s="387">
        <f>C10+C16+C21+C32+C40+C45+C53+C60+C65+C70+C78</f>
        <v>298892.40000000002</v>
      </c>
      <c r="D9" s="387">
        <f>D10+D16+D21+D32+D40+D45+D53+D60+D65+D70+D78+D90</f>
        <v>329150.59511999995</v>
      </c>
      <c r="E9" s="387">
        <f t="shared" ref="E9:E28" si="0">D9/C9*100</f>
        <v>110.12344078337219</v>
      </c>
      <c r="F9" s="116"/>
    </row>
    <row r="10" spans="1:6" ht="18.75" x14ac:dyDescent="0.25">
      <c r="A10" s="135" t="s">
        <v>7</v>
      </c>
      <c r="B10" s="405" t="s">
        <v>8</v>
      </c>
      <c r="C10" s="387">
        <f>C11</f>
        <v>216383.8</v>
      </c>
      <c r="D10" s="387">
        <f t="shared" ref="D10" si="1">D11</f>
        <v>231646.761</v>
      </c>
      <c r="E10" s="387">
        <f t="shared" si="0"/>
        <v>107.05365235290259</v>
      </c>
      <c r="F10" s="116"/>
    </row>
    <row r="11" spans="1:6" ht="18.75" x14ac:dyDescent="0.25">
      <c r="A11" s="388" t="s">
        <v>9</v>
      </c>
      <c r="B11" s="393" t="s">
        <v>10</v>
      </c>
      <c r="C11" s="387">
        <f>SUM(C12:C15)</f>
        <v>216383.8</v>
      </c>
      <c r="D11" s="387">
        <f t="shared" ref="D11" si="2">SUM(D12:D15)</f>
        <v>231646.761</v>
      </c>
      <c r="E11" s="387">
        <f t="shared" si="0"/>
        <v>107.05365235290259</v>
      </c>
      <c r="F11" s="116"/>
    </row>
    <row r="12" spans="1:6" ht="63" x14ac:dyDescent="0.25">
      <c r="A12" s="209" t="s">
        <v>11</v>
      </c>
      <c r="B12" s="235" t="s">
        <v>12</v>
      </c>
      <c r="C12" s="389">
        <f>217809-2062</f>
        <v>215747</v>
      </c>
      <c r="D12" s="389">
        <v>225386.52900000001</v>
      </c>
      <c r="E12" s="389">
        <f t="shared" si="0"/>
        <v>104.46797823376454</v>
      </c>
    </row>
    <row r="13" spans="1:6" ht="94.5" x14ac:dyDescent="0.25">
      <c r="A13" s="209" t="s">
        <v>13</v>
      </c>
      <c r="B13" s="406" t="s">
        <v>14</v>
      </c>
      <c r="C13" s="389">
        <v>18.3</v>
      </c>
      <c r="D13" s="389">
        <v>-17.292999999999999</v>
      </c>
      <c r="E13" s="389">
        <f t="shared" si="0"/>
        <v>-94.497267759562831</v>
      </c>
    </row>
    <row r="14" spans="1:6" ht="36.75" customHeight="1" x14ac:dyDescent="0.25">
      <c r="A14" s="209" t="s">
        <v>15</v>
      </c>
      <c r="B14" s="406" t="s">
        <v>16</v>
      </c>
      <c r="C14" s="389">
        <v>595.9</v>
      </c>
      <c r="D14" s="389">
        <v>6034.6</v>
      </c>
      <c r="E14" s="389">
        <f t="shared" si="0"/>
        <v>1012.6866923980534</v>
      </c>
    </row>
    <row r="15" spans="1:6" ht="78.75" x14ac:dyDescent="0.25">
      <c r="A15" s="209" t="s">
        <v>17</v>
      </c>
      <c r="B15" s="406" t="s">
        <v>18</v>
      </c>
      <c r="C15" s="389">
        <v>22.6</v>
      </c>
      <c r="D15" s="389">
        <v>242.92500000000001</v>
      </c>
      <c r="E15" s="389">
        <f t="shared" si="0"/>
        <v>1074.8893805309735</v>
      </c>
    </row>
    <row r="16" spans="1:6" ht="31.5" x14ac:dyDescent="0.25">
      <c r="A16" s="142" t="s">
        <v>19</v>
      </c>
      <c r="B16" s="407" t="s">
        <v>20</v>
      </c>
      <c r="C16" s="387">
        <f t="shared" ref="C16" si="3">C17</f>
        <v>3135.2</v>
      </c>
      <c r="D16" s="387">
        <f t="shared" ref="D16" si="4">D17</f>
        <v>3077.7080000000001</v>
      </c>
      <c r="E16" s="387">
        <f t="shared" si="0"/>
        <v>98.166241388109228</v>
      </c>
    </row>
    <row r="17" spans="1:5" ht="31.5" x14ac:dyDescent="0.25">
      <c r="A17" s="188" t="s">
        <v>21</v>
      </c>
      <c r="B17" s="408" t="s">
        <v>22</v>
      </c>
      <c r="C17" s="387">
        <f>SUM(C18:C20)</f>
        <v>3135.2</v>
      </c>
      <c r="D17" s="387">
        <f>SUM(D18:D20)</f>
        <v>3077.7080000000001</v>
      </c>
      <c r="E17" s="387">
        <f t="shared" si="0"/>
        <v>98.166241388109228</v>
      </c>
    </row>
    <row r="18" spans="1:5" ht="63" x14ac:dyDescent="0.25">
      <c r="A18" s="144" t="s">
        <v>23</v>
      </c>
      <c r="B18" s="406" t="s">
        <v>24</v>
      </c>
      <c r="C18" s="389">
        <f>1579-135.3</f>
        <v>1443.7</v>
      </c>
      <c r="D18" s="389">
        <v>1419.5550000000001</v>
      </c>
      <c r="E18" s="389">
        <f t="shared" si="0"/>
        <v>98.3275611276581</v>
      </c>
    </row>
    <row r="19" spans="1:5" ht="78.75" x14ac:dyDescent="0.25">
      <c r="A19" s="403" t="s">
        <v>25</v>
      </c>
      <c r="B19" s="406" t="s">
        <v>26</v>
      </c>
      <c r="C19" s="389">
        <f>9-0.7</f>
        <v>8.3000000000000007</v>
      </c>
      <c r="D19" s="389">
        <v>10.153</v>
      </c>
      <c r="E19" s="389">
        <f t="shared" si="0"/>
        <v>122.32530120481928</v>
      </c>
    </row>
    <row r="20" spans="1:5" ht="63" x14ac:dyDescent="0.25">
      <c r="A20" s="403" t="s">
        <v>27</v>
      </c>
      <c r="B20" s="406" t="s">
        <v>28</v>
      </c>
      <c r="C20" s="363">
        <f>1858-174.8</f>
        <v>1683.2</v>
      </c>
      <c r="D20" s="363">
        <v>1648</v>
      </c>
      <c r="E20" s="389">
        <f t="shared" si="0"/>
        <v>97.908745247148289</v>
      </c>
    </row>
    <row r="21" spans="1:5" ht="18.75" x14ac:dyDescent="0.25">
      <c r="A21" s="388" t="s">
        <v>29</v>
      </c>
      <c r="B21" s="393" t="s">
        <v>30</v>
      </c>
      <c r="C21" s="387">
        <f>SUM(C22+C27+C30)</f>
        <v>25186.400000000001</v>
      </c>
      <c r="D21" s="387">
        <f>SUM(D22+D27+D30)</f>
        <v>24848.344869999997</v>
      </c>
      <c r="E21" s="387">
        <f t="shared" si="0"/>
        <v>98.657787019979011</v>
      </c>
    </row>
    <row r="22" spans="1:5" ht="31.5" x14ac:dyDescent="0.25">
      <c r="A22" s="135" t="s">
        <v>31</v>
      </c>
      <c r="B22" s="393" t="s">
        <v>32</v>
      </c>
      <c r="C22" s="387">
        <f>C23+C25</f>
        <v>14478</v>
      </c>
      <c r="D22" s="387">
        <f t="shared" ref="D22" si="5">D23+D25</f>
        <v>15906.262999999999</v>
      </c>
      <c r="E22" s="387">
        <f t="shared" si="0"/>
        <v>109.86505732836027</v>
      </c>
    </row>
    <row r="23" spans="1:5" ht="31.5" x14ac:dyDescent="0.25">
      <c r="A23" s="135" t="s">
        <v>1317</v>
      </c>
      <c r="B23" s="390" t="s">
        <v>34</v>
      </c>
      <c r="C23" s="387">
        <f>C24</f>
        <v>7239</v>
      </c>
      <c r="D23" s="387">
        <f t="shared" ref="D23" si="6">D24</f>
        <v>12220.9</v>
      </c>
      <c r="E23" s="387">
        <f t="shared" si="0"/>
        <v>168.82027904406684</v>
      </c>
    </row>
    <row r="24" spans="1:5" ht="31.5" x14ac:dyDescent="0.25">
      <c r="A24" s="133" t="s">
        <v>33</v>
      </c>
      <c r="B24" s="391" t="s">
        <v>34</v>
      </c>
      <c r="C24" s="389">
        <f>14478/2</f>
        <v>7239</v>
      </c>
      <c r="D24" s="389">
        <v>12220.9</v>
      </c>
      <c r="E24" s="389">
        <f t="shared" si="0"/>
        <v>168.82027904406684</v>
      </c>
    </row>
    <row r="25" spans="1:5" ht="36.75" customHeight="1" x14ac:dyDescent="0.25">
      <c r="A25" s="135" t="s">
        <v>1316</v>
      </c>
      <c r="B25" s="392" t="s">
        <v>1315</v>
      </c>
      <c r="C25" s="387">
        <f>C26</f>
        <v>7239</v>
      </c>
      <c r="D25" s="387">
        <f t="shared" ref="D25" si="7">D26</f>
        <v>3685.3629999999998</v>
      </c>
      <c r="E25" s="387">
        <f t="shared" si="0"/>
        <v>50.909835612653673</v>
      </c>
    </row>
    <row r="26" spans="1:5" ht="63" x14ac:dyDescent="0.25">
      <c r="A26" s="133" t="s">
        <v>35</v>
      </c>
      <c r="B26" s="399" t="s">
        <v>36</v>
      </c>
      <c r="C26" s="389">
        <v>7239</v>
      </c>
      <c r="D26" s="389">
        <v>3685.3629999999998</v>
      </c>
      <c r="E26" s="389">
        <f t="shared" si="0"/>
        <v>50.909835612653673</v>
      </c>
    </row>
    <row r="27" spans="1:5" s="371" customFormat="1" ht="18.75" x14ac:dyDescent="0.25">
      <c r="A27" s="373" t="s">
        <v>37</v>
      </c>
      <c r="B27" s="372" t="s">
        <v>38</v>
      </c>
      <c r="C27" s="374">
        <f t="shared" ref="C27" si="8">SUM(C28:C28)</f>
        <v>10361.4</v>
      </c>
      <c r="D27" s="387">
        <f>D28+D29</f>
        <v>8524.8388699999996</v>
      </c>
      <c r="E27" s="374">
        <f t="shared" si="0"/>
        <v>82.274971239407805</v>
      </c>
    </row>
    <row r="28" spans="1:5" ht="24" customHeight="1" x14ac:dyDescent="0.25">
      <c r="A28" s="209" t="s">
        <v>39</v>
      </c>
      <c r="B28" s="235" t="s">
        <v>38</v>
      </c>
      <c r="C28" s="389">
        <f>9841+520.4</f>
        <v>10361.4</v>
      </c>
      <c r="D28" s="389">
        <v>8525.1659999999993</v>
      </c>
      <c r="E28" s="389">
        <f t="shared" si="0"/>
        <v>82.278128438241936</v>
      </c>
    </row>
    <row r="29" spans="1:5" ht="36.75" customHeight="1" x14ac:dyDescent="0.25">
      <c r="A29" s="209" t="s">
        <v>1629</v>
      </c>
      <c r="B29" s="409" t="s">
        <v>1628</v>
      </c>
      <c r="C29" s="389"/>
      <c r="D29" s="389">
        <f>-327.13/1000</f>
        <v>-0.32712999999999998</v>
      </c>
      <c r="E29" s="389"/>
    </row>
    <row r="30" spans="1:5" ht="21.2" customHeight="1" x14ac:dyDescent="0.25">
      <c r="A30" s="135" t="s">
        <v>1329</v>
      </c>
      <c r="B30" s="146" t="s">
        <v>1318</v>
      </c>
      <c r="C30" s="387">
        <f>C31</f>
        <v>347</v>
      </c>
      <c r="D30" s="387">
        <f t="shared" ref="D30" si="9">D31</f>
        <v>417.24299999999999</v>
      </c>
      <c r="E30" s="387">
        <f t="shared" ref="E30:E42" si="10">D30/C30*100</f>
        <v>120.24293948126801</v>
      </c>
    </row>
    <row r="31" spans="1:5" ht="31.5" x14ac:dyDescent="0.25">
      <c r="A31" s="133" t="s">
        <v>40</v>
      </c>
      <c r="B31" s="244" t="s">
        <v>41</v>
      </c>
      <c r="C31" s="389">
        <v>347</v>
      </c>
      <c r="D31" s="389">
        <v>417.24299999999999</v>
      </c>
      <c r="E31" s="389">
        <f t="shared" si="10"/>
        <v>120.24293948126801</v>
      </c>
    </row>
    <row r="32" spans="1:5" ht="22.5" customHeight="1" x14ac:dyDescent="0.25">
      <c r="A32" s="388" t="s">
        <v>42</v>
      </c>
      <c r="B32" s="393" t="s">
        <v>43</v>
      </c>
      <c r="C32" s="387">
        <f t="shared" ref="C32" si="11">C33+C35</f>
        <v>1144</v>
      </c>
      <c r="D32" s="387">
        <f t="shared" ref="D32" si="12">D33+D35</f>
        <v>1616.769</v>
      </c>
      <c r="E32" s="387">
        <f t="shared" si="10"/>
        <v>141.32596153846154</v>
      </c>
    </row>
    <row r="33" spans="1:5" ht="19.7" customHeight="1" x14ac:dyDescent="0.25">
      <c r="A33" s="388" t="s">
        <v>44</v>
      </c>
      <c r="B33" s="393" t="s">
        <v>45</v>
      </c>
      <c r="C33" s="387">
        <f t="shared" ref="C33" si="13">C34</f>
        <v>811</v>
      </c>
      <c r="D33" s="387">
        <f t="shared" ref="D33" si="14">D34</f>
        <v>978.2</v>
      </c>
      <c r="E33" s="387">
        <f t="shared" si="10"/>
        <v>120.61652281134403</v>
      </c>
    </row>
    <row r="34" spans="1:5" ht="38.25" customHeight="1" x14ac:dyDescent="0.25">
      <c r="A34" s="209" t="s">
        <v>46</v>
      </c>
      <c r="B34" s="399" t="s">
        <v>47</v>
      </c>
      <c r="C34" s="389">
        <v>811</v>
      </c>
      <c r="D34" s="389">
        <v>978.2</v>
      </c>
      <c r="E34" s="389">
        <f t="shared" si="10"/>
        <v>120.61652281134403</v>
      </c>
    </row>
    <row r="35" spans="1:5" ht="21.2" customHeight="1" x14ac:dyDescent="0.25">
      <c r="A35" s="388" t="s">
        <v>48</v>
      </c>
      <c r="B35" s="393" t="s">
        <v>49</v>
      </c>
      <c r="C35" s="387">
        <f>C36+C38</f>
        <v>333</v>
      </c>
      <c r="D35" s="387">
        <f t="shared" ref="D35" si="15">D36+D38</f>
        <v>638.56899999999996</v>
      </c>
      <c r="E35" s="387">
        <f t="shared" si="10"/>
        <v>191.76246246246245</v>
      </c>
    </row>
    <row r="36" spans="1:5" ht="19.7" customHeight="1" x14ac:dyDescent="0.25">
      <c r="A36" s="388" t="s">
        <v>1331</v>
      </c>
      <c r="B36" s="393" t="s">
        <v>1330</v>
      </c>
      <c r="C36" s="387">
        <f>C37</f>
        <v>178</v>
      </c>
      <c r="D36" s="387">
        <f t="shared" ref="D36" si="16">D37</f>
        <v>492.3</v>
      </c>
      <c r="E36" s="387">
        <f t="shared" si="10"/>
        <v>276.57303370786519</v>
      </c>
    </row>
    <row r="37" spans="1:5" ht="31.5" x14ac:dyDescent="0.25">
      <c r="A37" s="209" t="s">
        <v>50</v>
      </c>
      <c r="B37" s="399" t="s">
        <v>51</v>
      </c>
      <c r="C37" s="389">
        <v>178</v>
      </c>
      <c r="D37" s="389">
        <v>492.3</v>
      </c>
      <c r="E37" s="389">
        <f t="shared" si="10"/>
        <v>276.57303370786519</v>
      </c>
    </row>
    <row r="38" spans="1:5" ht="18.399999999999999" customHeight="1" x14ac:dyDescent="0.25">
      <c r="A38" s="388" t="s">
        <v>1333</v>
      </c>
      <c r="B38" s="393" t="s">
        <v>1332</v>
      </c>
      <c r="C38" s="387">
        <f>C39</f>
        <v>155</v>
      </c>
      <c r="D38" s="387">
        <f t="shared" ref="D38" si="17">D39</f>
        <v>146.26900000000001</v>
      </c>
      <c r="E38" s="387">
        <f t="shared" si="10"/>
        <v>94.367096774193556</v>
      </c>
    </row>
    <row r="39" spans="1:5" ht="31.5" x14ac:dyDescent="0.25">
      <c r="A39" s="209" t="s">
        <v>52</v>
      </c>
      <c r="B39" s="399" t="s">
        <v>53</v>
      </c>
      <c r="C39" s="389">
        <v>155</v>
      </c>
      <c r="D39" s="389">
        <v>146.26900000000001</v>
      </c>
      <c r="E39" s="389">
        <f t="shared" si="10"/>
        <v>94.367096774193556</v>
      </c>
    </row>
    <row r="40" spans="1:5" ht="18.399999999999999" customHeight="1" x14ac:dyDescent="0.25">
      <c r="A40" s="388" t="s">
        <v>54</v>
      </c>
      <c r="B40" s="393" t="s">
        <v>55</v>
      </c>
      <c r="C40" s="387">
        <f t="shared" ref="C40:C41" si="18">C41</f>
        <v>1474</v>
      </c>
      <c r="D40" s="387">
        <f>D41+D43</f>
        <v>1184.7</v>
      </c>
      <c r="E40" s="387">
        <f t="shared" si="10"/>
        <v>80.373134328358205</v>
      </c>
    </row>
    <row r="41" spans="1:5" ht="31.5" x14ac:dyDescent="0.25">
      <c r="A41" s="388" t="s">
        <v>56</v>
      </c>
      <c r="B41" s="393" t="s">
        <v>57</v>
      </c>
      <c r="C41" s="387">
        <f t="shared" si="18"/>
        <v>1474</v>
      </c>
      <c r="D41" s="387">
        <f t="shared" ref="D41" si="19">D42</f>
        <v>1174.7</v>
      </c>
      <c r="E41" s="387">
        <f t="shared" si="10"/>
        <v>79.694708276797826</v>
      </c>
    </row>
    <row r="42" spans="1:5" ht="47.25" x14ac:dyDescent="0.25">
      <c r="A42" s="209" t="s">
        <v>58</v>
      </c>
      <c r="B42" s="235" t="s">
        <v>59</v>
      </c>
      <c r="C42" s="389">
        <v>1474</v>
      </c>
      <c r="D42" s="389">
        <v>1174.7</v>
      </c>
      <c r="E42" s="389">
        <f t="shared" si="10"/>
        <v>79.694708276797826</v>
      </c>
    </row>
    <row r="43" spans="1:5" s="205" customFormat="1" ht="31.5" x14ac:dyDescent="0.25">
      <c r="A43" s="388" t="s">
        <v>1631</v>
      </c>
      <c r="B43" s="243" t="s">
        <v>1622</v>
      </c>
      <c r="C43" s="387">
        <f>C44</f>
        <v>0</v>
      </c>
      <c r="D43" s="387">
        <f>D44</f>
        <v>10</v>
      </c>
      <c r="E43" s="387" t="s">
        <v>1632</v>
      </c>
    </row>
    <row r="44" spans="1:5" ht="31.5" x14ac:dyDescent="0.25">
      <c r="A44" s="209" t="s">
        <v>1630</v>
      </c>
      <c r="B44" s="235" t="s">
        <v>1623</v>
      </c>
      <c r="C44" s="389">
        <v>0</v>
      </c>
      <c r="D44" s="389">
        <v>10</v>
      </c>
      <c r="E44" s="389" t="s">
        <v>1632</v>
      </c>
    </row>
    <row r="45" spans="1:5" ht="31.5" x14ac:dyDescent="0.25">
      <c r="A45" s="388" t="s">
        <v>60</v>
      </c>
      <c r="B45" s="243" t="s">
        <v>61</v>
      </c>
      <c r="C45" s="387">
        <f t="shared" ref="C45" si="20">C46</f>
        <v>41700</v>
      </c>
      <c r="D45" s="387">
        <f t="shared" ref="D45" si="21">D46</f>
        <v>49586.585999999996</v>
      </c>
      <c r="E45" s="387">
        <f t="shared" ref="E45:E50" si="22">D45/C45*100</f>
        <v>118.9126762589928</v>
      </c>
    </row>
    <row r="46" spans="1:5" ht="65.25" customHeight="1" x14ac:dyDescent="0.25">
      <c r="A46" s="388" t="s">
        <v>62</v>
      </c>
      <c r="B46" s="243" t="s">
        <v>63</v>
      </c>
      <c r="C46" s="387">
        <f t="shared" ref="C46" si="23">C47+C49</f>
        <v>41700</v>
      </c>
      <c r="D46" s="387">
        <f t="shared" ref="D46" si="24">D47+D49</f>
        <v>49586.585999999996</v>
      </c>
      <c r="E46" s="387">
        <f t="shared" si="22"/>
        <v>118.9126762589928</v>
      </c>
    </row>
    <row r="47" spans="1:5" ht="54.4" customHeight="1" x14ac:dyDescent="0.25">
      <c r="A47" s="388" t="s">
        <v>64</v>
      </c>
      <c r="B47" s="393" t="s">
        <v>65</v>
      </c>
      <c r="C47" s="387">
        <f t="shared" ref="C47" si="25">C48</f>
        <v>38000</v>
      </c>
      <c r="D47" s="387">
        <f t="shared" ref="D47" si="26">D48</f>
        <v>45416.741999999998</v>
      </c>
      <c r="E47" s="387">
        <f t="shared" si="22"/>
        <v>119.51774210526315</v>
      </c>
    </row>
    <row r="48" spans="1:5" ht="63" x14ac:dyDescent="0.25">
      <c r="A48" s="209" t="s">
        <v>66</v>
      </c>
      <c r="B48" s="399" t="s">
        <v>67</v>
      </c>
      <c r="C48" s="389">
        <v>38000</v>
      </c>
      <c r="D48" s="389">
        <v>45416.741999999998</v>
      </c>
      <c r="E48" s="389">
        <f t="shared" si="22"/>
        <v>119.51774210526315</v>
      </c>
    </row>
    <row r="49" spans="1:5" ht="31.5" x14ac:dyDescent="0.25">
      <c r="A49" s="388" t="s">
        <v>68</v>
      </c>
      <c r="B49" s="393" t="s">
        <v>69</v>
      </c>
      <c r="C49" s="387">
        <f t="shared" ref="C49" si="27">C50</f>
        <v>3700</v>
      </c>
      <c r="D49" s="387">
        <f t="shared" ref="D49" si="28">D50</f>
        <v>4169.8440000000001</v>
      </c>
      <c r="E49" s="387">
        <f t="shared" si="22"/>
        <v>112.69848648648649</v>
      </c>
    </row>
    <row r="50" spans="1:5" ht="35.450000000000003" customHeight="1" x14ac:dyDescent="0.25">
      <c r="A50" s="209" t="s">
        <v>70</v>
      </c>
      <c r="B50" s="399" t="s">
        <v>71</v>
      </c>
      <c r="C50" s="389">
        <f>5000-1300</f>
        <v>3700</v>
      </c>
      <c r="D50" s="389">
        <v>4169.8440000000001</v>
      </c>
      <c r="E50" s="389">
        <f t="shared" si="22"/>
        <v>112.69848648648649</v>
      </c>
    </row>
    <row r="51" spans="1:5" ht="40.15" customHeight="1" x14ac:dyDescent="0.25">
      <c r="A51" s="388" t="s">
        <v>1633</v>
      </c>
      <c r="B51" s="393" t="s">
        <v>1634</v>
      </c>
      <c r="C51" s="387">
        <f>C52</f>
        <v>0</v>
      </c>
      <c r="D51" s="387">
        <f>D52</f>
        <v>0.20779</v>
      </c>
      <c r="E51" s="389" t="s">
        <v>1632</v>
      </c>
    </row>
    <row r="52" spans="1:5" ht="84.2" customHeight="1" x14ac:dyDescent="0.25">
      <c r="A52" s="209" t="s">
        <v>1624</v>
      </c>
      <c r="B52" s="399" t="s">
        <v>1635</v>
      </c>
      <c r="C52" s="389">
        <v>0</v>
      </c>
      <c r="D52" s="389">
        <f>207.79/1000</f>
        <v>0.20779</v>
      </c>
      <c r="E52" s="389" t="s">
        <v>1632</v>
      </c>
    </row>
    <row r="53" spans="1:5" ht="20.45" customHeight="1" x14ac:dyDescent="0.25">
      <c r="A53" s="388" t="s">
        <v>72</v>
      </c>
      <c r="B53" s="243" t="s">
        <v>73</v>
      </c>
      <c r="C53" s="387">
        <f t="shared" ref="C53" si="29">SUM(C54)</f>
        <v>3826</v>
      </c>
      <c r="D53" s="387">
        <f t="shared" ref="D53" si="30">SUM(D54)</f>
        <v>4795.4552499999991</v>
      </c>
      <c r="E53" s="387">
        <f t="shared" ref="E53:E62" si="31">D53/C53*100</f>
        <v>125.33861082070044</v>
      </c>
    </row>
    <row r="54" spans="1:5" ht="21.2" customHeight="1" x14ac:dyDescent="0.25">
      <c r="A54" s="388" t="s">
        <v>74</v>
      </c>
      <c r="B54" s="243" t="s">
        <v>75</v>
      </c>
      <c r="C54" s="387">
        <f>C55+C56+C57</f>
        <v>3826</v>
      </c>
      <c r="D54" s="387">
        <f t="shared" ref="D54" si="32">D55+D56+D57</f>
        <v>4795.4552499999991</v>
      </c>
      <c r="E54" s="387">
        <f t="shared" si="31"/>
        <v>125.33861082070044</v>
      </c>
    </row>
    <row r="55" spans="1:5" ht="31.5" x14ac:dyDescent="0.25">
      <c r="A55" s="388" t="s">
        <v>76</v>
      </c>
      <c r="B55" s="243" t="s">
        <v>77</v>
      </c>
      <c r="C55" s="387">
        <f>517.9-487.9</f>
        <v>30</v>
      </c>
      <c r="D55" s="387">
        <v>51.692</v>
      </c>
      <c r="E55" s="387">
        <f t="shared" si="31"/>
        <v>172.30666666666667</v>
      </c>
    </row>
    <row r="56" spans="1:5" ht="18.75" x14ac:dyDescent="0.25">
      <c r="A56" s="388" t="s">
        <v>78</v>
      </c>
      <c r="B56" s="243" t="s">
        <v>79</v>
      </c>
      <c r="C56" s="387">
        <f>1.1+218.9</f>
        <v>220</v>
      </c>
      <c r="D56" s="387">
        <v>42.390999999999998</v>
      </c>
      <c r="E56" s="387">
        <f t="shared" si="31"/>
        <v>19.268636363636364</v>
      </c>
    </row>
    <row r="57" spans="1:5" ht="24" customHeight="1" x14ac:dyDescent="0.25">
      <c r="A57" s="388" t="s">
        <v>1627</v>
      </c>
      <c r="B57" s="243" t="s">
        <v>1319</v>
      </c>
      <c r="C57" s="387">
        <f>C58+C59</f>
        <v>3576</v>
      </c>
      <c r="D57" s="387">
        <f t="shared" ref="D57" si="33">D58+D59</f>
        <v>4701.3722499999994</v>
      </c>
      <c r="E57" s="387">
        <f t="shared" si="31"/>
        <v>131.47014121923937</v>
      </c>
    </row>
    <row r="58" spans="1:5" ht="24.75" customHeight="1" x14ac:dyDescent="0.25">
      <c r="A58" s="209" t="s">
        <v>824</v>
      </c>
      <c r="B58" s="235" t="s">
        <v>825</v>
      </c>
      <c r="C58" s="389">
        <f>1060.8+2389.2</f>
        <v>3450</v>
      </c>
      <c r="D58" s="389">
        <v>4701.4799999999996</v>
      </c>
      <c r="E58" s="389">
        <f t="shared" si="31"/>
        <v>136.27478260869563</v>
      </c>
    </row>
    <row r="59" spans="1:5" ht="25.5" customHeight="1" x14ac:dyDescent="0.25">
      <c r="A59" s="209" t="s">
        <v>826</v>
      </c>
      <c r="B59" s="235" t="s">
        <v>827</v>
      </c>
      <c r="C59" s="389">
        <f>156-30</f>
        <v>126</v>
      </c>
      <c r="D59" s="389">
        <f>-107.75/1000</f>
        <v>-0.10775</v>
      </c>
      <c r="E59" s="389">
        <f t="shared" si="31"/>
        <v>-8.5515873015873003E-2</v>
      </c>
    </row>
    <row r="60" spans="1:5" ht="31.5" x14ac:dyDescent="0.25">
      <c r="A60" s="388" t="s">
        <v>80</v>
      </c>
      <c r="B60" s="243" t="s">
        <v>81</v>
      </c>
      <c r="C60" s="387">
        <f>C62</f>
        <v>1500</v>
      </c>
      <c r="D60" s="387">
        <f>D61+D63</f>
        <v>3942.8199999999997</v>
      </c>
      <c r="E60" s="387">
        <f t="shared" si="31"/>
        <v>262.85466666666662</v>
      </c>
    </row>
    <row r="61" spans="1:5" ht="22.5" customHeight="1" x14ac:dyDescent="0.25">
      <c r="A61" s="388" t="s">
        <v>82</v>
      </c>
      <c r="B61" s="243" t="s">
        <v>83</v>
      </c>
      <c r="C61" s="387">
        <f>C62</f>
        <v>1500</v>
      </c>
      <c r="D61" s="387">
        <f t="shared" ref="D61" si="34">D62</f>
        <v>2156.585</v>
      </c>
      <c r="E61" s="387">
        <f t="shared" si="31"/>
        <v>143.77233333333334</v>
      </c>
    </row>
    <row r="62" spans="1:5" ht="31.5" x14ac:dyDescent="0.25">
      <c r="A62" s="209" t="s">
        <v>84</v>
      </c>
      <c r="B62" s="235" t="s">
        <v>85</v>
      </c>
      <c r="C62" s="389">
        <f>842+658</f>
        <v>1500</v>
      </c>
      <c r="D62" s="389">
        <v>2156.585</v>
      </c>
      <c r="E62" s="389">
        <f t="shared" si="31"/>
        <v>143.77233333333334</v>
      </c>
    </row>
    <row r="63" spans="1:5" s="205" customFormat="1" ht="22.7" customHeight="1" x14ac:dyDescent="0.25">
      <c r="A63" s="388" t="s">
        <v>1637</v>
      </c>
      <c r="B63" s="243" t="s">
        <v>1664</v>
      </c>
      <c r="C63" s="387">
        <f>C64</f>
        <v>0</v>
      </c>
      <c r="D63" s="387">
        <f>D64</f>
        <v>1786.2349999999999</v>
      </c>
      <c r="E63" s="387" t="s">
        <v>1632</v>
      </c>
    </row>
    <row r="64" spans="1:5" ht="17.649999999999999" customHeight="1" x14ac:dyDescent="0.25">
      <c r="A64" s="209" t="s">
        <v>1636</v>
      </c>
      <c r="B64" s="235" t="s">
        <v>1663</v>
      </c>
      <c r="C64" s="389">
        <v>0</v>
      </c>
      <c r="D64" s="389">
        <v>1786.2349999999999</v>
      </c>
      <c r="E64" s="389" t="s">
        <v>1632</v>
      </c>
    </row>
    <row r="65" spans="1:5" ht="31.5" x14ac:dyDescent="0.25">
      <c r="A65" s="388" t="s">
        <v>86</v>
      </c>
      <c r="B65" s="243" t="s">
        <v>87</v>
      </c>
      <c r="C65" s="387">
        <f t="shared" ref="C65" si="35">SUM(C66+C68)</f>
        <v>4513</v>
      </c>
      <c r="D65" s="387">
        <f t="shared" ref="D65" si="36">SUM(D66+D68)</f>
        <v>7617.5079999999998</v>
      </c>
      <c r="E65" s="387">
        <f t="shared" ref="E65:E80" si="37">D65/C65*100</f>
        <v>168.79033902060715</v>
      </c>
    </row>
    <row r="66" spans="1:5" ht="66.599999999999994" customHeight="1" x14ac:dyDescent="0.25">
      <c r="A66" s="388" t="s">
        <v>88</v>
      </c>
      <c r="B66" s="243" t="s">
        <v>89</v>
      </c>
      <c r="C66" s="387">
        <f t="shared" ref="C66" si="38">C67</f>
        <v>4447</v>
      </c>
      <c r="D66" s="387">
        <f t="shared" ref="D66" si="39">D67</f>
        <v>7511.5</v>
      </c>
      <c r="E66" s="387">
        <f t="shared" si="37"/>
        <v>168.9116258151563</v>
      </c>
    </row>
    <row r="67" spans="1:5" ht="78.75" x14ac:dyDescent="0.25">
      <c r="A67" s="209" t="s">
        <v>90</v>
      </c>
      <c r="B67" s="235" t="s">
        <v>714</v>
      </c>
      <c r="C67" s="389">
        <f>235+7212-3000</f>
        <v>4447</v>
      </c>
      <c r="D67" s="389">
        <v>7511.5</v>
      </c>
      <c r="E67" s="389">
        <f t="shared" si="37"/>
        <v>168.9116258151563</v>
      </c>
    </row>
    <row r="68" spans="1:5" ht="31.5" x14ac:dyDescent="0.25">
      <c r="A68" s="388" t="s">
        <v>91</v>
      </c>
      <c r="B68" s="243" t="s">
        <v>92</v>
      </c>
      <c r="C68" s="387">
        <f t="shared" ref="C68" si="40">SUM(C69)</f>
        <v>66</v>
      </c>
      <c r="D68" s="387">
        <f t="shared" ref="D68" si="41">SUM(D69)</f>
        <v>106.008</v>
      </c>
      <c r="E68" s="387">
        <f t="shared" si="37"/>
        <v>160.61818181818182</v>
      </c>
    </row>
    <row r="69" spans="1:5" ht="36.75" customHeight="1" x14ac:dyDescent="0.25">
      <c r="A69" s="209" t="s">
        <v>93</v>
      </c>
      <c r="B69" s="235" t="s">
        <v>94</v>
      </c>
      <c r="C69" s="389">
        <f>1+65</f>
        <v>66</v>
      </c>
      <c r="D69" s="389">
        <v>106.008</v>
      </c>
      <c r="E69" s="389">
        <f t="shared" si="37"/>
        <v>160.61818181818182</v>
      </c>
    </row>
    <row r="70" spans="1:5" ht="21.2" customHeight="1" x14ac:dyDescent="0.25">
      <c r="A70" s="388" t="s">
        <v>95</v>
      </c>
      <c r="B70" s="243" t="s">
        <v>96</v>
      </c>
      <c r="C70" s="387">
        <f>C71</f>
        <v>30</v>
      </c>
      <c r="D70" s="387">
        <f t="shared" ref="D70" si="42">D71</f>
        <v>299.13599999999997</v>
      </c>
      <c r="E70" s="387">
        <f t="shared" si="37"/>
        <v>997.12</v>
      </c>
    </row>
    <row r="71" spans="1:5" ht="31.5" x14ac:dyDescent="0.25">
      <c r="A71" s="388" t="s">
        <v>1295</v>
      </c>
      <c r="B71" s="243" t="s">
        <v>97</v>
      </c>
      <c r="C71" s="387">
        <f>C72+C74+C76</f>
        <v>30</v>
      </c>
      <c r="D71" s="387">
        <f>D72+D74+D76+D81+D83+D85+D87</f>
        <v>299.13599999999997</v>
      </c>
      <c r="E71" s="387">
        <f t="shared" si="37"/>
        <v>997.12</v>
      </c>
    </row>
    <row r="72" spans="1:5" ht="47.25" x14ac:dyDescent="0.25">
      <c r="A72" s="388" t="s">
        <v>1312</v>
      </c>
      <c r="B72" s="254" t="s">
        <v>1311</v>
      </c>
      <c r="C72" s="387">
        <f>C73</f>
        <v>10</v>
      </c>
      <c r="D72" s="387">
        <f t="shared" ref="D72" si="43">D73</f>
        <v>3.8</v>
      </c>
      <c r="E72" s="387">
        <f t="shared" si="37"/>
        <v>38</v>
      </c>
    </row>
    <row r="73" spans="1:5" ht="63" x14ac:dyDescent="0.25">
      <c r="A73" s="209" t="s">
        <v>1297</v>
      </c>
      <c r="B73" s="255" t="s">
        <v>1306</v>
      </c>
      <c r="C73" s="389">
        <v>10</v>
      </c>
      <c r="D73" s="389">
        <v>3.8</v>
      </c>
      <c r="E73" s="389">
        <f t="shared" si="37"/>
        <v>38</v>
      </c>
    </row>
    <row r="74" spans="1:5" ht="65.25" customHeight="1" x14ac:dyDescent="0.25">
      <c r="A74" s="388" t="s">
        <v>1314</v>
      </c>
      <c r="B74" s="254" t="s">
        <v>1313</v>
      </c>
      <c r="C74" s="387">
        <f>C75</f>
        <v>10</v>
      </c>
      <c r="D74" s="387">
        <v>0</v>
      </c>
      <c r="E74" s="387">
        <f t="shared" si="37"/>
        <v>0</v>
      </c>
    </row>
    <row r="75" spans="1:5" ht="80.849999999999994" customHeight="1" x14ac:dyDescent="0.25">
      <c r="A75" s="209" t="s">
        <v>1296</v>
      </c>
      <c r="B75" s="255" t="s">
        <v>1307</v>
      </c>
      <c r="C75" s="389">
        <v>10</v>
      </c>
      <c r="D75" s="389">
        <v>0</v>
      </c>
      <c r="E75" s="389">
        <f t="shared" si="37"/>
        <v>0</v>
      </c>
    </row>
    <row r="76" spans="1:5" ht="63" x14ac:dyDescent="0.25">
      <c r="A76" s="388" t="s">
        <v>1310</v>
      </c>
      <c r="B76" s="256" t="s">
        <v>1309</v>
      </c>
      <c r="C76" s="387">
        <f>C77</f>
        <v>10</v>
      </c>
      <c r="D76" s="387">
        <f t="shared" ref="D76" si="44">D77</f>
        <v>1.8</v>
      </c>
      <c r="E76" s="387">
        <f t="shared" si="37"/>
        <v>18</v>
      </c>
    </row>
    <row r="77" spans="1:5" ht="78.75" x14ac:dyDescent="0.25">
      <c r="A77" s="209" t="s">
        <v>1300</v>
      </c>
      <c r="B77" s="257" t="s">
        <v>1308</v>
      </c>
      <c r="C77" s="389">
        <v>10</v>
      </c>
      <c r="D77" s="389">
        <v>1.8</v>
      </c>
      <c r="E77" s="389">
        <f t="shared" si="37"/>
        <v>18</v>
      </c>
    </row>
    <row r="78" spans="1:5" ht="18.75" hidden="1" x14ac:dyDescent="0.25">
      <c r="A78" s="379" t="s">
        <v>1298</v>
      </c>
      <c r="B78" s="410" t="s">
        <v>788</v>
      </c>
      <c r="C78" s="387">
        <f>C79</f>
        <v>0</v>
      </c>
      <c r="D78" s="387">
        <f t="shared" ref="D78" si="45">D79</f>
        <v>0</v>
      </c>
      <c r="E78" s="389" t="e">
        <f t="shared" si="37"/>
        <v>#DIV/0!</v>
      </c>
    </row>
    <row r="79" spans="1:5" ht="18.75" hidden="1" x14ac:dyDescent="0.25">
      <c r="A79" s="379" t="s">
        <v>1299</v>
      </c>
      <c r="B79" s="410" t="s">
        <v>789</v>
      </c>
      <c r="C79" s="387">
        <f t="shared" ref="C79" si="46">SUM(C80)</f>
        <v>0</v>
      </c>
      <c r="D79" s="387">
        <f t="shared" ref="D79" si="47">SUM(D80)</f>
        <v>0</v>
      </c>
      <c r="E79" s="389" t="e">
        <f t="shared" si="37"/>
        <v>#DIV/0!</v>
      </c>
    </row>
    <row r="80" spans="1:5" ht="18.75" hidden="1" x14ac:dyDescent="0.25">
      <c r="A80" s="380" t="s">
        <v>790</v>
      </c>
      <c r="B80" s="411" t="s">
        <v>791</v>
      </c>
      <c r="C80" s="389">
        <v>0</v>
      </c>
      <c r="D80" s="389">
        <v>0</v>
      </c>
      <c r="E80" s="389" t="e">
        <f t="shared" si="37"/>
        <v>#DIV/0!</v>
      </c>
    </row>
    <row r="81" spans="1:6" ht="66.75" customHeight="1" x14ac:dyDescent="0.25">
      <c r="A81" s="379" t="s">
        <v>1638</v>
      </c>
      <c r="B81" s="410" t="s">
        <v>1642</v>
      </c>
      <c r="C81" s="387">
        <f>C82</f>
        <v>0</v>
      </c>
      <c r="D81" s="387">
        <f>D82</f>
        <v>0.3</v>
      </c>
      <c r="E81" s="389" t="s">
        <v>1632</v>
      </c>
    </row>
    <row r="82" spans="1:6" ht="99" customHeight="1" x14ac:dyDescent="0.25">
      <c r="A82" s="380" t="s">
        <v>1639</v>
      </c>
      <c r="B82" s="411" t="s">
        <v>1643</v>
      </c>
      <c r="C82" s="389">
        <v>0</v>
      </c>
      <c r="D82" s="389">
        <v>0.3</v>
      </c>
      <c r="E82" s="389" t="s">
        <v>1632</v>
      </c>
    </row>
    <row r="83" spans="1:6" ht="52.5" customHeight="1" x14ac:dyDescent="0.25">
      <c r="A83" s="379" t="s">
        <v>1640</v>
      </c>
      <c r="B83" s="410" t="s">
        <v>1644</v>
      </c>
      <c r="C83" s="387">
        <f>C84</f>
        <v>0</v>
      </c>
      <c r="D83" s="387">
        <f>D84</f>
        <v>3.153</v>
      </c>
      <c r="E83" s="389" t="s">
        <v>1632</v>
      </c>
    </row>
    <row r="84" spans="1:6" ht="66.75" customHeight="1" x14ac:dyDescent="0.25">
      <c r="A84" s="380" t="s">
        <v>1641</v>
      </c>
      <c r="B84" s="411" t="s">
        <v>1645</v>
      </c>
      <c r="C84" s="389">
        <v>0</v>
      </c>
      <c r="D84" s="389">
        <v>3.153</v>
      </c>
      <c r="E84" s="389" t="s">
        <v>1632</v>
      </c>
    </row>
    <row r="85" spans="1:6" ht="27" customHeight="1" x14ac:dyDescent="0.25">
      <c r="A85" s="375" t="s">
        <v>1646</v>
      </c>
      <c r="B85" s="410" t="s">
        <v>1647</v>
      </c>
      <c r="C85" s="389">
        <f>C86</f>
        <v>0</v>
      </c>
      <c r="D85" s="387">
        <f>D86</f>
        <v>160</v>
      </c>
      <c r="E85" s="389" t="s">
        <v>1632</v>
      </c>
    </row>
    <row r="86" spans="1:6" ht="66.75" customHeight="1" x14ac:dyDescent="0.25">
      <c r="A86" s="380" t="s">
        <v>1648</v>
      </c>
      <c r="B86" s="411" t="s">
        <v>1649</v>
      </c>
      <c r="C86" s="389">
        <v>0</v>
      </c>
      <c r="D86" s="389">
        <v>160</v>
      </c>
      <c r="E86" s="389" t="s">
        <v>1632</v>
      </c>
    </row>
    <row r="87" spans="1:6" ht="66.75" customHeight="1" x14ac:dyDescent="0.25">
      <c r="A87" s="379" t="s">
        <v>1650</v>
      </c>
      <c r="B87" s="410" t="s">
        <v>1651</v>
      </c>
      <c r="C87" s="389">
        <f>C88+C89</f>
        <v>0</v>
      </c>
      <c r="D87" s="387">
        <f>D88+D89</f>
        <v>130.083</v>
      </c>
      <c r="E87" s="389" t="s">
        <v>1632</v>
      </c>
    </row>
    <row r="88" spans="1:6" ht="34.5" customHeight="1" x14ac:dyDescent="0.25">
      <c r="A88" s="380" t="s">
        <v>1652</v>
      </c>
      <c r="B88" s="411" t="s">
        <v>1653</v>
      </c>
      <c r="C88" s="389">
        <v>0</v>
      </c>
      <c r="D88" s="389">
        <v>123.059</v>
      </c>
      <c r="E88" s="389" t="s">
        <v>1632</v>
      </c>
    </row>
    <row r="89" spans="1:6" ht="36.75" customHeight="1" x14ac:dyDescent="0.25">
      <c r="A89" s="380" t="s">
        <v>1654</v>
      </c>
      <c r="B89" s="411" t="s">
        <v>1655</v>
      </c>
      <c r="C89" s="389">
        <v>0</v>
      </c>
      <c r="D89" s="389">
        <v>7.024</v>
      </c>
      <c r="E89" s="389" t="s">
        <v>1632</v>
      </c>
    </row>
    <row r="90" spans="1:6" ht="18.75" x14ac:dyDescent="0.25">
      <c r="A90" s="379" t="s">
        <v>1298</v>
      </c>
      <c r="B90" s="410" t="s">
        <v>788</v>
      </c>
      <c r="C90" s="389">
        <f>C91</f>
        <v>0</v>
      </c>
      <c r="D90" s="387">
        <f>D91+D93</f>
        <v>534.80700000000002</v>
      </c>
      <c r="E90" s="389"/>
    </row>
    <row r="91" spans="1:6" ht="18.75" x14ac:dyDescent="0.25">
      <c r="A91" s="379" t="s">
        <v>1656</v>
      </c>
      <c r="B91" s="410" t="s">
        <v>1626</v>
      </c>
      <c r="C91" s="389">
        <f>C92</f>
        <v>0</v>
      </c>
      <c r="D91" s="387">
        <f>D92</f>
        <v>4.1539999999999999</v>
      </c>
      <c r="E91" s="389"/>
    </row>
    <row r="92" spans="1:6" s="376" customFormat="1" ht="18.75" x14ac:dyDescent="0.25">
      <c r="A92" s="380" t="s">
        <v>1625</v>
      </c>
      <c r="B92" s="411" t="s">
        <v>1657</v>
      </c>
      <c r="C92" s="389">
        <v>0</v>
      </c>
      <c r="D92" s="389">
        <v>4.1539999999999999</v>
      </c>
      <c r="E92" s="389"/>
    </row>
    <row r="93" spans="1:6" s="377" customFormat="1" ht="18.75" x14ac:dyDescent="0.25">
      <c r="A93" s="379" t="s">
        <v>1299</v>
      </c>
      <c r="B93" s="410" t="s">
        <v>789</v>
      </c>
      <c r="C93" s="389">
        <f>C94</f>
        <v>0</v>
      </c>
      <c r="D93" s="387">
        <f>D94</f>
        <v>530.65300000000002</v>
      </c>
      <c r="E93" s="389"/>
    </row>
    <row r="94" spans="1:6" s="378" customFormat="1" ht="18.75" x14ac:dyDescent="0.25">
      <c r="A94" s="380" t="s">
        <v>790</v>
      </c>
      <c r="B94" s="411" t="s">
        <v>791</v>
      </c>
      <c r="C94" s="389">
        <v>0</v>
      </c>
      <c r="D94" s="389">
        <v>530.65300000000002</v>
      </c>
      <c r="E94" s="389"/>
    </row>
    <row r="95" spans="1:6" ht="22.7" customHeight="1" x14ac:dyDescent="0.25">
      <c r="A95" s="388" t="s">
        <v>98</v>
      </c>
      <c r="B95" s="393" t="s">
        <v>99</v>
      </c>
      <c r="C95" s="387">
        <f>SUM(C96+C180)</f>
        <v>458719.26199999999</v>
      </c>
      <c r="D95" s="387">
        <f>SUM(D96+D180+D186)</f>
        <v>440579.37699999998</v>
      </c>
      <c r="E95" s="387">
        <f t="shared" ref="E95:E126" si="48">D95/C95*100</f>
        <v>96.045536670749172</v>
      </c>
      <c r="F95" s="116"/>
    </row>
    <row r="96" spans="1:6" ht="35.450000000000003" customHeight="1" x14ac:dyDescent="0.25">
      <c r="A96" s="388" t="s">
        <v>100</v>
      </c>
      <c r="B96" s="393" t="s">
        <v>101</v>
      </c>
      <c r="C96" s="387">
        <f>SUM(C97+C105+C139+C166)</f>
        <v>436519.26199999999</v>
      </c>
      <c r="D96" s="387">
        <f>SUM(D97+D105+D139+D166)</f>
        <v>422285.79700000002</v>
      </c>
      <c r="E96" s="387">
        <f t="shared" si="48"/>
        <v>96.739327163986644</v>
      </c>
    </row>
    <row r="97" spans="1:5" ht="22.7" customHeight="1" x14ac:dyDescent="0.25">
      <c r="A97" s="388" t="s">
        <v>854</v>
      </c>
      <c r="B97" s="393" t="s">
        <v>102</v>
      </c>
      <c r="C97" s="387">
        <f>C98+C101+C103</f>
        <v>160485.29999999999</v>
      </c>
      <c r="D97" s="387">
        <f t="shared" ref="D97" si="49">D98+D101+D103</f>
        <v>160485.29999999999</v>
      </c>
      <c r="E97" s="387">
        <f t="shared" si="48"/>
        <v>100</v>
      </c>
    </row>
    <row r="98" spans="1:5" ht="21.2" customHeight="1" x14ac:dyDescent="0.25">
      <c r="A98" s="388" t="s">
        <v>1337</v>
      </c>
      <c r="B98" s="393" t="s">
        <v>1334</v>
      </c>
      <c r="C98" s="387">
        <f>C99</f>
        <v>158125</v>
      </c>
      <c r="D98" s="387">
        <f t="shared" ref="D98" si="50">D99</f>
        <v>158125</v>
      </c>
      <c r="E98" s="387">
        <f t="shared" si="48"/>
        <v>100</v>
      </c>
    </row>
    <row r="99" spans="1:5" ht="31.5" x14ac:dyDescent="0.25">
      <c r="A99" s="388" t="s">
        <v>853</v>
      </c>
      <c r="B99" s="393" t="s">
        <v>1353</v>
      </c>
      <c r="C99" s="387">
        <f>C100</f>
        <v>158125</v>
      </c>
      <c r="D99" s="387">
        <f>D100</f>
        <v>158125</v>
      </c>
      <c r="E99" s="387">
        <f t="shared" si="48"/>
        <v>100</v>
      </c>
    </row>
    <row r="100" spans="1:5" ht="94.5" x14ac:dyDescent="0.25">
      <c r="A100" s="133" t="s">
        <v>853</v>
      </c>
      <c r="B100" s="399" t="s">
        <v>103</v>
      </c>
      <c r="C100" s="389">
        <v>158125</v>
      </c>
      <c r="D100" s="389">
        <v>158125</v>
      </c>
      <c r="E100" s="389">
        <f t="shared" si="48"/>
        <v>100</v>
      </c>
    </row>
    <row r="101" spans="1:5" ht="31.5" x14ac:dyDescent="0.25">
      <c r="A101" s="135" t="s">
        <v>1335</v>
      </c>
      <c r="B101" s="393" t="s">
        <v>1336</v>
      </c>
      <c r="C101" s="387">
        <f>C102</f>
        <v>1360.3</v>
      </c>
      <c r="D101" s="387">
        <f t="shared" ref="D101" si="51">D102</f>
        <v>1360.3</v>
      </c>
      <c r="E101" s="387">
        <f t="shared" si="48"/>
        <v>100</v>
      </c>
    </row>
    <row r="102" spans="1:5" ht="31.5" x14ac:dyDescent="0.25">
      <c r="A102" s="133" t="s">
        <v>1278</v>
      </c>
      <c r="B102" s="399" t="s">
        <v>1279</v>
      </c>
      <c r="C102" s="389">
        <f>300+1060.3</f>
        <v>1360.3</v>
      </c>
      <c r="D102" s="389">
        <v>1360.3</v>
      </c>
      <c r="E102" s="389">
        <f t="shared" si="48"/>
        <v>100</v>
      </c>
    </row>
    <row r="103" spans="1:5" s="205" customFormat="1" ht="38.25" customHeight="1" x14ac:dyDescent="0.25">
      <c r="A103" s="388" t="s">
        <v>1580</v>
      </c>
      <c r="B103" s="393" t="s">
        <v>1667</v>
      </c>
      <c r="C103" s="387">
        <f>C104</f>
        <v>1000</v>
      </c>
      <c r="D103" s="387">
        <f t="shared" ref="D103" si="52">D104</f>
        <v>1000</v>
      </c>
      <c r="E103" s="387">
        <f t="shared" si="48"/>
        <v>100</v>
      </c>
    </row>
    <row r="104" spans="1:5" ht="39.200000000000003" customHeight="1" x14ac:dyDescent="0.25">
      <c r="A104" s="209" t="s">
        <v>1581</v>
      </c>
      <c r="B104" s="399" t="s">
        <v>1666</v>
      </c>
      <c r="C104" s="389">
        <v>1000</v>
      </c>
      <c r="D104" s="389">
        <v>1000</v>
      </c>
      <c r="E104" s="389">
        <f t="shared" si="48"/>
        <v>100</v>
      </c>
    </row>
    <row r="105" spans="1:5" ht="34.5" customHeight="1" x14ac:dyDescent="0.25">
      <c r="A105" s="388" t="s">
        <v>852</v>
      </c>
      <c r="B105" s="393" t="s">
        <v>105</v>
      </c>
      <c r="C105" s="387">
        <f>C112+C118+C121+C114+C108+C110+C116+C106</f>
        <v>33828</v>
      </c>
      <c r="D105" s="387">
        <f>D106+D108+D110+D112+D114+D121</f>
        <v>32012.699000000001</v>
      </c>
      <c r="E105" s="387">
        <f t="shared" si="48"/>
        <v>94.633732411020461</v>
      </c>
    </row>
    <row r="106" spans="1:5" ht="34.5" customHeight="1" x14ac:dyDescent="0.25">
      <c r="A106" s="302" t="s">
        <v>1467</v>
      </c>
      <c r="B106" s="412" t="s">
        <v>1469</v>
      </c>
      <c r="C106" s="394">
        <f>C107</f>
        <v>400</v>
      </c>
      <c r="D106" s="394">
        <f>D107</f>
        <v>400</v>
      </c>
      <c r="E106" s="387">
        <f t="shared" si="48"/>
        <v>100</v>
      </c>
    </row>
    <row r="107" spans="1:5" s="149" customFormat="1" ht="51.75" customHeight="1" x14ac:dyDescent="0.25">
      <c r="A107" s="209" t="s">
        <v>1468</v>
      </c>
      <c r="B107" s="383" t="s">
        <v>1665</v>
      </c>
      <c r="C107" s="389">
        <v>400</v>
      </c>
      <c r="D107" s="389">
        <v>400</v>
      </c>
      <c r="E107" s="389">
        <f t="shared" si="48"/>
        <v>100</v>
      </c>
    </row>
    <row r="108" spans="1:5" ht="49.7" customHeight="1" x14ac:dyDescent="0.25">
      <c r="A108" s="303" t="s">
        <v>1374</v>
      </c>
      <c r="B108" s="392" t="s">
        <v>1376</v>
      </c>
      <c r="C108" s="395">
        <f>C109</f>
        <v>1117.0999999999999</v>
      </c>
      <c r="D108" s="395">
        <f t="shared" ref="D108" si="53">D109</f>
        <v>1117.0999999999999</v>
      </c>
      <c r="E108" s="387">
        <f t="shared" si="48"/>
        <v>100</v>
      </c>
    </row>
    <row r="109" spans="1:5" ht="83.25" customHeight="1" x14ac:dyDescent="0.25">
      <c r="A109" s="209" t="s">
        <v>1373</v>
      </c>
      <c r="B109" s="391" t="s">
        <v>1462</v>
      </c>
      <c r="C109" s="389">
        <v>1117.0999999999999</v>
      </c>
      <c r="D109" s="389">
        <v>1117.0999999999999</v>
      </c>
      <c r="E109" s="389">
        <f t="shared" si="48"/>
        <v>100</v>
      </c>
    </row>
    <row r="110" spans="1:5" ht="51.75" customHeight="1" x14ac:dyDescent="0.25">
      <c r="A110" s="388" t="s">
        <v>1377</v>
      </c>
      <c r="B110" s="390" t="s">
        <v>1380</v>
      </c>
      <c r="C110" s="387">
        <f>C111</f>
        <v>1253.5</v>
      </c>
      <c r="D110" s="387">
        <f t="shared" ref="D110" si="54">D111</f>
        <v>1253.4839999999999</v>
      </c>
      <c r="E110" s="387">
        <f t="shared" si="48"/>
        <v>99.998723573992805</v>
      </c>
    </row>
    <row r="111" spans="1:5" ht="99.75" customHeight="1" x14ac:dyDescent="0.25">
      <c r="A111" s="209" t="s">
        <v>1378</v>
      </c>
      <c r="B111" s="391" t="s">
        <v>1465</v>
      </c>
      <c r="C111" s="389">
        <v>1253.5</v>
      </c>
      <c r="D111" s="389">
        <v>1253.4839999999999</v>
      </c>
      <c r="E111" s="389">
        <f t="shared" si="48"/>
        <v>99.998723573992805</v>
      </c>
    </row>
    <row r="112" spans="1:5" ht="36" customHeight="1" x14ac:dyDescent="0.25">
      <c r="A112" s="302" t="s">
        <v>1369</v>
      </c>
      <c r="B112" s="393" t="s">
        <v>1321</v>
      </c>
      <c r="C112" s="387">
        <f t="shared" ref="C112" si="55">SUM(C113)</f>
        <v>140.30000000000001</v>
      </c>
      <c r="D112" s="387">
        <f t="shared" ref="D112" si="56">SUM(D113)</f>
        <v>140.17500000000001</v>
      </c>
      <c r="E112" s="387">
        <f t="shared" si="48"/>
        <v>99.910905203136139</v>
      </c>
    </row>
    <row r="113" spans="1:8" s="149" customFormat="1" ht="31.5" x14ac:dyDescent="0.25">
      <c r="A113" s="403" t="s">
        <v>1368</v>
      </c>
      <c r="B113" s="399" t="s">
        <v>823</v>
      </c>
      <c r="C113" s="389">
        <v>140.30000000000001</v>
      </c>
      <c r="D113" s="389">
        <v>140.17500000000001</v>
      </c>
      <c r="E113" s="389">
        <f t="shared" si="48"/>
        <v>99.910905203136139</v>
      </c>
    </row>
    <row r="114" spans="1:8" s="149" customFormat="1" ht="51.6" customHeight="1" x14ac:dyDescent="0.25">
      <c r="A114" s="302" t="s">
        <v>1562</v>
      </c>
      <c r="B114" s="393" t="s">
        <v>1561</v>
      </c>
      <c r="C114" s="387">
        <f>C115</f>
        <v>1894.7</v>
      </c>
      <c r="D114" s="387">
        <f t="shared" ref="D114" si="57">D115</f>
        <v>1503.11</v>
      </c>
      <c r="E114" s="387">
        <f t="shared" si="48"/>
        <v>79.332348128991399</v>
      </c>
    </row>
    <row r="115" spans="1:8" s="149" customFormat="1" ht="51" customHeight="1" x14ac:dyDescent="0.25">
      <c r="A115" s="403" t="s">
        <v>1560</v>
      </c>
      <c r="B115" s="396" t="s">
        <v>1559</v>
      </c>
      <c r="C115" s="389">
        <v>1894.7</v>
      </c>
      <c r="D115" s="389">
        <v>1503.11</v>
      </c>
      <c r="E115" s="389">
        <f t="shared" si="48"/>
        <v>79.332348128991399</v>
      </c>
    </row>
    <row r="116" spans="1:8" s="149" customFormat="1" ht="24.75" hidden="1" customHeight="1" x14ac:dyDescent="0.25">
      <c r="A116" s="277" t="s">
        <v>1367</v>
      </c>
      <c r="B116" s="397" t="s">
        <v>1370</v>
      </c>
      <c r="C116" s="387">
        <f>C117</f>
        <v>0</v>
      </c>
      <c r="D116" s="387">
        <f t="shared" ref="D116" si="58">D117</f>
        <v>0</v>
      </c>
      <c r="E116" s="389" t="e">
        <f t="shared" si="48"/>
        <v>#DIV/0!</v>
      </c>
    </row>
    <row r="117" spans="1:8" s="149" customFormat="1" ht="21.75" hidden="1" customHeight="1" x14ac:dyDescent="0.25">
      <c r="A117" s="279" t="s">
        <v>1365</v>
      </c>
      <c r="B117" s="398" t="s">
        <v>1366</v>
      </c>
      <c r="C117" s="389">
        <v>0</v>
      </c>
      <c r="D117" s="389">
        <v>0</v>
      </c>
      <c r="E117" s="389" t="e">
        <f t="shared" si="48"/>
        <v>#DIV/0!</v>
      </c>
    </row>
    <row r="118" spans="1:8" ht="31.5" hidden="1" x14ac:dyDescent="0.25">
      <c r="A118" s="302" t="s">
        <v>1323</v>
      </c>
      <c r="B118" s="393" t="s">
        <v>1324</v>
      </c>
      <c r="C118" s="387">
        <f t="shared" ref="C118" si="59">SUM(C119)</f>
        <v>0</v>
      </c>
      <c r="D118" s="387">
        <f t="shared" ref="D118" si="60">SUM(D119)</f>
        <v>0</v>
      </c>
      <c r="E118" s="389" t="e">
        <f t="shared" si="48"/>
        <v>#DIV/0!</v>
      </c>
    </row>
    <row r="119" spans="1:8" s="149" customFormat="1" ht="35.450000000000003" hidden="1" customHeight="1" x14ac:dyDescent="0.25">
      <c r="A119" s="403" t="s">
        <v>851</v>
      </c>
      <c r="B119" s="399" t="s">
        <v>1325</v>
      </c>
      <c r="C119" s="389">
        <v>0</v>
      </c>
      <c r="D119" s="389">
        <v>0</v>
      </c>
      <c r="E119" s="389" t="e">
        <f t="shared" si="48"/>
        <v>#DIV/0!</v>
      </c>
    </row>
    <row r="120" spans="1:8" s="205" customFormat="1" ht="22.5" customHeight="1" x14ac:dyDescent="0.25">
      <c r="A120" s="302" t="s">
        <v>1327</v>
      </c>
      <c r="B120" s="393" t="s">
        <v>1326</v>
      </c>
      <c r="C120" s="387">
        <f>C121</f>
        <v>29022.400000000001</v>
      </c>
      <c r="D120" s="387">
        <f t="shared" ref="D120" si="61">D121</f>
        <v>27598.83</v>
      </c>
      <c r="E120" s="387">
        <f t="shared" si="48"/>
        <v>95.094926677325091</v>
      </c>
    </row>
    <row r="121" spans="1:8" s="205" customFormat="1" ht="19.7" customHeight="1" x14ac:dyDescent="0.25">
      <c r="A121" s="209" t="s">
        <v>850</v>
      </c>
      <c r="B121" s="399" t="s">
        <v>106</v>
      </c>
      <c r="C121" s="283">
        <f>SUM(C122+C123+C126+C127+C130+C132+C133+C134+C124+C125+C131+C135+C136+C137+C138)</f>
        <v>29022.400000000001</v>
      </c>
      <c r="D121" s="283">
        <f t="shared" ref="D121" si="62">SUM(D122+D123+D126+D127+D130+D132+D133+D134+D124+D125+D131+D135+D136+D137+D138)</f>
        <v>27598.83</v>
      </c>
      <c r="E121" s="389">
        <f t="shared" si="48"/>
        <v>95.094926677325091</v>
      </c>
    </row>
    <row r="122" spans="1:8" ht="126.75" hidden="1" customHeight="1" x14ac:dyDescent="0.25">
      <c r="A122" s="426"/>
      <c r="B122" s="399" t="s">
        <v>837</v>
      </c>
      <c r="C122" s="389">
        <v>0</v>
      </c>
      <c r="D122" s="389">
        <v>0</v>
      </c>
      <c r="E122" s="389" t="e">
        <f t="shared" si="48"/>
        <v>#DIV/0!</v>
      </c>
    </row>
    <row r="123" spans="1:8" ht="63" x14ac:dyDescent="0.25">
      <c r="A123" s="427"/>
      <c r="B123" s="235" t="s">
        <v>838</v>
      </c>
      <c r="C123" s="389">
        <v>65.2</v>
      </c>
      <c r="D123" s="389">
        <v>65.2</v>
      </c>
      <c r="E123" s="389">
        <f t="shared" si="48"/>
        <v>100</v>
      </c>
    </row>
    <row r="124" spans="1:8" ht="115.5" customHeight="1" x14ac:dyDescent="0.25">
      <c r="A124" s="427"/>
      <c r="B124" s="413" t="s">
        <v>1371</v>
      </c>
      <c r="C124" s="280">
        <v>1666.6</v>
      </c>
      <c r="D124" s="280">
        <v>1666.6</v>
      </c>
      <c r="E124" s="389">
        <f t="shared" si="48"/>
        <v>100</v>
      </c>
    </row>
    <row r="125" spans="1:8" ht="124.5" hidden="1" customHeight="1" x14ac:dyDescent="0.25">
      <c r="A125" s="427"/>
      <c r="B125" s="273" t="s">
        <v>1372</v>
      </c>
      <c r="C125" s="280">
        <f>500-300-200</f>
        <v>0</v>
      </c>
      <c r="D125" s="280"/>
      <c r="E125" s="389" t="e">
        <f t="shared" si="48"/>
        <v>#DIV/0!</v>
      </c>
    </row>
    <row r="126" spans="1:8" ht="80.45" customHeight="1" x14ac:dyDescent="0.25">
      <c r="A126" s="427"/>
      <c r="B126" s="414" t="s">
        <v>1481</v>
      </c>
      <c r="C126" s="284">
        <f>2220.9+857.9</f>
        <v>3078.8</v>
      </c>
      <c r="D126" s="284">
        <v>1962.71</v>
      </c>
      <c r="E126" s="389">
        <f t="shared" si="48"/>
        <v>63.749187995322856</v>
      </c>
    </row>
    <row r="127" spans="1:8" ht="63" x14ac:dyDescent="0.25">
      <c r="A127" s="427"/>
      <c r="B127" s="413" t="s">
        <v>839</v>
      </c>
      <c r="C127" s="353">
        <f t="shared" ref="C127" si="63">SUM(C128:C129)</f>
        <v>14</v>
      </c>
      <c r="D127" s="353">
        <f>SUM(D128:D129)</f>
        <v>14</v>
      </c>
      <c r="E127" s="389">
        <f t="shared" ref="E127:E158" si="64">D127/C127*100</f>
        <v>100</v>
      </c>
    </row>
    <row r="128" spans="1:8" s="152" customFormat="1" ht="0.75" customHeight="1" x14ac:dyDescent="0.25">
      <c r="A128" s="427"/>
      <c r="B128" s="415" t="s">
        <v>1522</v>
      </c>
      <c r="C128" s="286">
        <v>0</v>
      </c>
      <c r="D128" s="286"/>
      <c r="E128" s="389" t="e">
        <f t="shared" si="64"/>
        <v>#DIV/0!</v>
      </c>
      <c r="H128" s="129"/>
    </row>
    <row r="129" spans="1:8" s="152" customFormat="1" ht="110.25" x14ac:dyDescent="0.25">
      <c r="A129" s="427"/>
      <c r="B129" s="416" t="s">
        <v>1521</v>
      </c>
      <c r="C129" s="287">
        <f>25-11</f>
        <v>14</v>
      </c>
      <c r="D129" s="287">
        <v>14</v>
      </c>
      <c r="E129" s="389">
        <f t="shared" si="64"/>
        <v>100</v>
      </c>
      <c r="H129" s="129"/>
    </row>
    <row r="130" spans="1:8" ht="78.75" x14ac:dyDescent="0.25">
      <c r="A130" s="427"/>
      <c r="B130" s="235" t="s">
        <v>1479</v>
      </c>
      <c r="C130" s="389">
        <f>1740-74.8</f>
        <v>1665.2</v>
      </c>
      <c r="D130" s="389">
        <v>1529.8</v>
      </c>
      <c r="E130" s="389">
        <f t="shared" si="64"/>
        <v>91.868844583233241</v>
      </c>
    </row>
    <row r="131" spans="1:8" ht="78.75" x14ac:dyDescent="0.25">
      <c r="A131" s="427"/>
      <c r="B131" s="235" t="s">
        <v>1492</v>
      </c>
      <c r="C131" s="389">
        <v>74.8</v>
      </c>
      <c r="D131" s="389">
        <v>73</v>
      </c>
      <c r="E131" s="389">
        <f t="shared" si="64"/>
        <v>97.593582887700535</v>
      </c>
    </row>
    <row r="132" spans="1:8" ht="78.75" x14ac:dyDescent="0.25">
      <c r="A132" s="427"/>
      <c r="B132" s="235" t="s">
        <v>840</v>
      </c>
      <c r="C132" s="389">
        <f>255-173.4</f>
        <v>81.599999999999994</v>
      </c>
      <c r="D132" s="389">
        <v>81.52</v>
      </c>
      <c r="E132" s="389">
        <f t="shared" si="64"/>
        <v>99.901960784313729</v>
      </c>
    </row>
    <row r="133" spans="1:8" ht="94.5" x14ac:dyDescent="0.25">
      <c r="A133" s="427"/>
      <c r="B133" s="235" t="s">
        <v>1480</v>
      </c>
      <c r="C133" s="389">
        <f>488.7+8</f>
        <v>496.7</v>
      </c>
      <c r="D133" s="389">
        <v>404.2</v>
      </c>
      <c r="E133" s="389">
        <f t="shared" si="64"/>
        <v>81.37708878598751</v>
      </c>
    </row>
    <row r="134" spans="1:8" s="203" customFormat="1" ht="150.19999999999999" customHeight="1" x14ac:dyDescent="0.2">
      <c r="A134" s="427"/>
      <c r="B134" s="417" t="s">
        <v>1482</v>
      </c>
      <c r="C134" s="283">
        <v>166.7</v>
      </c>
      <c r="D134" s="283">
        <v>89</v>
      </c>
      <c r="E134" s="389">
        <f t="shared" si="64"/>
        <v>53.38932213557289</v>
      </c>
    </row>
    <row r="135" spans="1:8" s="203" customFormat="1" ht="83.65" customHeight="1" x14ac:dyDescent="0.2">
      <c r="A135" s="427"/>
      <c r="B135" s="417" t="s">
        <v>1510</v>
      </c>
      <c r="C135" s="283">
        <f>4824.9</f>
        <v>4824.8999999999996</v>
      </c>
      <c r="D135" s="283">
        <v>4824.8999999999996</v>
      </c>
      <c r="E135" s="389">
        <f t="shared" si="64"/>
        <v>100</v>
      </c>
    </row>
    <row r="136" spans="1:8" s="203" customFormat="1" ht="71.45" customHeight="1" x14ac:dyDescent="0.2">
      <c r="A136" s="427"/>
      <c r="B136" s="417" t="s">
        <v>1564</v>
      </c>
      <c r="C136" s="283">
        <v>2275.1999999999998</v>
      </c>
      <c r="D136" s="283">
        <v>2275.1999999999998</v>
      </c>
      <c r="E136" s="389">
        <f t="shared" si="64"/>
        <v>100</v>
      </c>
    </row>
    <row r="137" spans="1:8" s="203" customFormat="1" ht="73.349999999999994" customHeight="1" x14ac:dyDescent="0.2">
      <c r="A137" s="428"/>
      <c r="B137" s="417" t="s">
        <v>1563</v>
      </c>
      <c r="C137" s="283">
        <v>615</v>
      </c>
      <c r="D137" s="283">
        <v>615</v>
      </c>
      <c r="E137" s="389">
        <f t="shared" si="64"/>
        <v>100</v>
      </c>
    </row>
    <row r="138" spans="1:8" s="203" customFormat="1" ht="65.849999999999994" customHeight="1" x14ac:dyDescent="0.2">
      <c r="A138" s="404"/>
      <c r="B138" s="417" t="s">
        <v>1572</v>
      </c>
      <c r="C138" s="283">
        <f>15000-1002.3</f>
        <v>13997.7</v>
      </c>
      <c r="D138" s="283">
        <v>13997.7</v>
      </c>
      <c r="E138" s="389">
        <f t="shared" si="64"/>
        <v>100</v>
      </c>
    </row>
    <row r="139" spans="1:8" ht="19.7" customHeight="1" x14ac:dyDescent="0.25">
      <c r="A139" s="388" t="s">
        <v>849</v>
      </c>
      <c r="B139" s="243" t="s">
        <v>109</v>
      </c>
      <c r="C139" s="387">
        <f>C164+C140+C162+C160</f>
        <v>236092.772</v>
      </c>
      <c r="D139" s="387">
        <f>D140+D160+D162+D164</f>
        <v>223904.40800000002</v>
      </c>
      <c r="E139" s="387">
        <f t="shared" si="64"/>
        <v>94.837468382979566</v>
      </c>
    </row>
    <row r="140" spans="1:8" ht="31.5" x14ac:dyDescent="0.25">
      <c r="A140" s="388" t="s">
        <v>848</v>
      </c>
      <c r="B140" s="243" t="s">
        <v>110</v>
      </c>
      <c r="C140" s="387">
        <f>C141</f>
        <v>235366.97199999998</v>
      </c>
      <c r="D140" s="387">
        <f t="shared" ref="D140" si="65">D141</f>
        <v>223277.20800000001</v>
      </c>
      <c r="E140" s="387">
        <f t="shared" si="64"/>
        <v>94.863440737980881</v>
      </c>
    </row>
    <row r="141" spans="1:8" ht="31.5" x14ac:dyDescent="0.25">
      <c r="A141" s="209" t="s">
        <v>847</v>
      </c>
      <c r="B141" s="235" t="s">
        <v>111</v>
      </c>
      <c r="C141" s="389">
        <f>SUM(C142+C143+C144+C145+C146+C147+C148+C151+C152+C153+C154+C156+C155+C157+C158+C159)</f>
        <v>235366.97199999998</v>
      </c>
      <c r="D141" s="389">
        <f>SUM(D142+D143+D144+D145+D146+D147+D148+D151+D152+D153+D154+D155+D156+D157+D158+D159)</f>
        <v>223277.20800000001</v>
      </c>
      <c r="E141" s="389">
        <f t="shared" si="64"/>
        <v>94.863440737980881</v>
      </c>
    </row>
    <row r="142" spans="1:8" ht="98.45" customHeight="1" x14ac:dyDescent="0.25">
      <c r="A142" s="426"/>
      <c r="B142" s="414" t="s">
        <v>1483</v>
      </c>
      <c r="C142" s="353">
        <f>143160-14818.128</f>
        <v>128341.872</v>
      </c>
      <c r="D142" s="353">
        <v>123821.234</v>
      </c>
      <c r="E142" s="389">
        <f t="shared" si="64"/>
        <v>96.47765929423251</v>
      </c>
    </row>
    <row r="143" spans="1:8" ht="78.75" x14ac:dyDescent="0.25">
      <c r="A143" s="427"/>
      <c r="B143" s="235" t="s">
        <v>1484</v>
      </c>
      <c r="C143" s="389">
        <v>80735.399999999994</v>
      </c>
      <c r="D143" s="389">
        <v>74740.430999999997</v>
      </c>
      <c r="E143" s="389">
        <f t="shared" si="64"/>
        <v>92.574547224637527</v>
      </c>
    </row>
    <row r="144" spans="1:8" ht="110.25" x14ac:dyDescent="0.25">
      <c r="A144" s="427"/>
      <c r="B144" s="235" t="s">
        <v>1485</v>
      </c>
      <c r="C144" s="389">
        <v>4743.8999999999996</v>
      </c>
      <c r="D144" s="389">
        <v>4472.7</v>
      </c>
      <c r="E144" s="389">
        <f t="shared" si="64"/>
        <v>94.283184721431738</v>
      </c>
    </row>
    <row r="145" spans="1:5" ht="97.5" customHeight="1" x14ac:dyDescent="0.25">
      <c r="A145" s="427"/>
      <c r="B145" s="235" t="s">
        <v>1486</v>
      </c>
      <c r="C145" s="389">
        <v>2075.4</v>
      </c>
      <c r="D145" s="389">
        <v>1316.453</v>
      </c>
      <c r="E145" s="389">
        <f t="shared" si="64"/>
        <v>63.43129035366676</v>
      </c>
    </row>
    <row r="146" spans="1:5" ht="97.5" customHeight="1" x14ac:dyDescent="0.25">
      <c r="A146" s="427"/>
      <c r="B146" s="235" t="s">
        <v>113</v>
      </c>
      <c r="C146" s="389">
        <v>1433.3</v>
      </c>
      <c r="D146" s="389">
        <v>1433.3</v>
      </c>
      <c r="E146" s="389">
        <f t="shared" si="64"/>
        <v>100</v>
      </c>
    </row>
    <row r="147" spans="1:5" ht="99" customHeight="1" x14ac:dyDescent="0.25">
      <c r="A147" s="427"/>
      <c r="B147" s="235" t="s">
        <v>114</v>
      </c>
      <c r="C147" s="389">
        <f>288.8-38.4</f>
        <v>250.4</v>
      </c>
      <c r="D147" s="389">
        <v>244.9</v>
      </c>
      <c r="E147" s="389">
        <f t="shared" si="64"/>
        <v>97.803514376996802</v>
      </c>
    </row>
    <row r="148" spans="1:5" ht="47.25" x14ac:dyDescent="0.25">
      <c r="A148" s="427"/>
      <c r="B148" s="235" t="s">
        <v>115</v>
      </c>
      <c r="C148" s="389">
        <f t="shared" ref="C148" si="66">SUM(C149:C150)</f>
        <v>3621.3999999999996</v>
      </c>
      <c r="D148" s="389">
        <v>3372.6</v>
      </c>
      <c r="E148" s="389">
        <f t="shared" si="64"/>
        <v>93.129728834152544</v>
      </c>
    </row>
    <row r="149" spans="1:5" ht="31.5" x14ac:dyDescent="0.25">
      <c r="A149" s="427"/>
      <c r="B149" s="418" t="s">
        <v>717</v>
      </c>
      <c r="C149" s="287">
        <v>2829.1</v>
      </c>
      <c r="D149" s="287">
        <v>2592.8000000000002</v>
      </c>
      <c r="E149" s="389">
        <f t="shared" si="64"/>
        <v>91.64752041285216</v>
      </c>
    </row>
    <row r="150" spans="1:5" ht="31.5" x14ac:dyDescent="0.25">
      <c r="A150" s="427"/>
      <c r="B150" s="418" t="s">
        <v>718</v>
      </c>
      <c r="C150" s="287">
        <v>792.3</v>
      </c>
      <c r="D150" s="287">
        <v>779.9</v>
      </c>
      <c r="E150" s="389">
        <f t="shared" si="64"/>
        <v>98.434936261517109</v>
      </c>
    </row>
    <row r="151" spans="1:5" ht="109.35" customHeight="1" x14ac:dyDescent="0.25">
      <c r="A151" s="427"/>
      <c r="B151" s="235" t="s">
        <v>842</v>
      </c>
      <c r="C151" s="389">
        <v>319.7</v>
      </c>
      <c r="D151" s="389">
        <v>319.7</v>
      </c>
      <c r="E151" s="389">
        <f t="shared" si="64"/>
        <v>100</v>
      </c>
    </row>
    <row r="152" spans="1:5" ht="110.25" customHeight="1" x14ac:dyDescent="0.25">
      <c r="A152" s="427"/>
      <c r="B152" s="235" t="s">
        <v>1487</v>
      </c>
      <c r="C152" s="389">
        <v>923.4</v>
      </c>
      <c r="D152" s="389">
        <v>844.89</v>
      </c>
      <c r="E152" s="389">
        <f t="shared" si="64"/>
        <v>91.497725795971405</v>
      </c>
    </row>
    <row r="153" spans="1:5" ht="47.25" x14ac:dyDescent="0.25">
      <c r="A153" s="427"/>
      <c r="B153" s="235" t="s">
        <v>117</v>
      </c>
      <c r="C153" s="389">
        <f>1115.9</f>
        <v>1115.9000000000001</v>
      </c>
      <c r="D153" s="389">
        <v>1063.9000000000001</v>
      </c>
      <c r="E153" s="389">
        <f t="shared" si="64"/>
        <v>95.340084236938793</v>
      </c>
    </row>
    <row r="154" spans="1:5" ht="123" customHeight="1" x14ac:dyDescent="0.25">
      <c r="A154" s="427"/>
      <c r="B154" s="323" t="s">
        <v>1381</v>
      </c>
      <c r="C154" s="353">
        <v>22</v>
      </c>
      <c r="D154" s="353">
        <v>0</v>
      </c>
      <c r="E154" s="389">
        <f t="shared" si="64"/>
        <v>0</v>
      </c>
    </row>
    <row r="155" spans="1:5" ht="118.5" customHeight="1" x14ac:dyDescent="0.25">
      <c r="A155" s="427"/>
      <c r="B155" s="383" t="s">
        <v>1386</v>
      </c>
      <c r="C155" s="353">
        <f>1431.2-1400</f>
        <v>31.200000000000045</v>
      </c>
      <c r="D155" s="353">
        <v>0</v>
      </c>
      <c r="E155" s="389">
        <f t="shared" si="64"/>
        <v>0</v>
      </c>
    </row>
    <row r="156" spans="1:5" ht="54" customHeight="1" x14ac:dyDescent="0.25">
      <c r="A156" s="427"/>
      <c r="B156" s="235" t="s">
        <v>1363</v>
      </c>
      <c r="C156" s="389">
        <v>1914.5</v>
      </c>
      <c r="D156" s="389">
        <v>1914.5</v>
      </c>
      <c r="E156" s="389">
        <f t="shared" si="64"/>
        <v>100</v>
      </c>
    </row>
    <row r="157" spans="1:5" ht="120.2" customHeight="1" x14ac:dyDescent="0.25">
      <c r="A157" s="427"/>
      <c r="B157" s="419" t="s">
        <v>1489</v>
      </c>
      <c r="C157" s="389">
        <f>6426.5+690</f>
        <v>7116.5</v>
      </c>
      <c r="D157" s="389">
        <v>7116.5</v>
      </c>
      <c r="E157" s="389">
        <f t="shared" si="64"/>
        <v>100</v>
      </c>
    </row>
    <row r="158" spans="1:5" ht="114" customHeight="1" x14ac:dyDescent="0.25">
      <c r="A158" s="427"/>
      <c r="B158" s="419" t="s">
        <v>1490</v>
      </c>
      <c r="C158" s="389">
        <v>1908.6</v>
      </c>
      <c r="D158" s="389">
        <v>1908.6</v>
      </c>
      <c r="E158" s="389">
        <f t="shared" si="64"/>
        <v>100</v>
      </c>
    </row>
    <row r="159" spans="1:5" ht="115.5" customHeight="1" x14ac:dyDescent="0.25">
      <c r="A159" s="428"/>
      <c r="B159" s="419" t="s">
        <v>1491</v>
      </c>
      <c r="C159" s="389">
        <v>813.5</v>
      </c>
      <c r="D159" s="389">
        <v>707.5</v>
      </c>
      <c r="E159" s="389">
        <f t="shared" ref="E159:E182" si="67">D159/C159*100</f>
        <v>86.969883220651496</v>
      </c>
    </row>
    <row r="160" spans="1:5" ht="55.15" customHeight="1" x14ac:dyDescent="0.25">
      <c r="A160" s="388" t="s">
        <v>1388</v>
      </c>
      <c r="B160" s="390" t="s">
        <v>1390</v>
      </c>
      <c r="C160" s="289">
        <f>C161</f>
        <v>6</v>
      </c>
      <c r="D160" s="289">
        <f t="shared" ref="D160" si="68">D161</f>
        <v>0</v>
      </c>
      <c r="E160" s="387">
        <f t="shared" si="67"/>
        <v>0</v>
      </c>
    </row>
    <row r="161" spans="1:5" ht="54" customHeight="1" x14ac:dyDescent="0.25">
      <c r="A161" s="209" t="s">
        <v>1389</v>
      </c>
      <c r="B161" s="391" t="s">
        <v>1390</v>
      </c>
      <c r="C161" s="353">
        <v>6</v>
      </c>
      <c r="D161" s="353">
        <v>0</v>
      </c>
      <c r="E161" s="389">
        <f t="shared" si="67"/>
        <v>0</v>
      </c>
    </row>
    <row r="162" spans="1:5" ht="39.75" customHeight="1" x14ac:dyDescent="0.25">
      <c r="A162" s="388" t="s">
        <v>1383</v>
      </c>
      <c r="B162" s="390" t="s">
        <v>1385</v>
      </c>
      <c r="C162" s="387">
        <f>C163</f>
        <v>92.6</v>
      </c>
      <c r="D162" s="387">
        <f t="shared" ref="D162" si="69">D163</f>
        <v>0</v>
      </c>
      <c r="E162" s="387">
        <f t="shared" si="67"/>
        <v>0</v>
      </c>
    </row>
    <row r="163" spans="1:5" ht="37.5" customHeight="1" x14ac:dyDescent="0.25">
      <c r="A163" s="209" t="s">
        <v>1384</v>
      </c>
      <c r="B163" s="391" t="s">
        <v>1382</v>
      </c>
      <c r="C163" s="389">
        <v>92.6</v>
      </c>
      <c r="D163" s="389">
        <v>0</v>
      </c>
      <c r="E163" s="389">
        <f t="shared" si="67"/>
        <v>0</v>
      </c>
    </row>
    <row r="164" spans="1:5" ht="31.5" x14ac:dyDescent="0.25">
      <c r="A164" s="388" t="s">
        <v>846</v>
      </c>
      <c r="B164" s="243" t="s">
        <v>118</v>
      </c>
      <c r="C164" s="387">
        <f t="shared" ref="C164" si="70">C165</f>
        <v>627.19999999999993</v>
      </c>
      <c r="D164" s="387">
        <f t="shared" ref="D164" si="71">D165</f>
        <v>627.20000000000005</v>
      </c>
      <c r="E164" s="387">
        <f t="shared" si="67"/>
        <v>100.00000000000003</v>
      </c>
    </row>
    <row r="165" spans="1:5" ht="31.5" x14ac:dyDescent="0.25">
      <c r="A165" s="209" t="s">
        <v>845</v>
      </c>
      <c r="B165" s="235" t="s">
        <v>119</v>
      </c>
      <c r="C165" s="389">
        <f>604.8+22.4</f>
        <v>627.19999999999993</v>
      </c>
      <c r="D165" s="389">
        <v>627.20000000000005</v>
      </c>
      <c r="E165" s="389">
        <f t="shared" si="67"/>
        <v>100.00000000000003</v>
      </c>
    </row>
    <row r="166" spans="1:5" ht="18.75" x14ac:dyDescent="0.25">
      <c r="A166" s="388" t="s">
        <v>844</v>
      </c>
      <c r="B166" s="243" t="s">
        <v>120</v>
      </c>
      <c r="C166" s="387">
        <f>C173+C167+C169+C171</f>
        <v>6113.19</v>
      </c>
      <c r="D166" s="387">
        <f t="shared" ref="D166" si="72">D173+D167+D169+D171</f>
        <v>5883.3899999999994</v>
      </c>
      <c r="E166" s="387">
        <f t="shared" si="67"/>
        <v>96.240915135960108</v>
      </c>
    </row>
    <row r="167" spans="1:5" ht="63.95" customHeight="1" x14ac:dyDescent="0.25">
      <c r="A167" s="388" t="s">
        <v>1575</v>
      </c>
      <c r="B167" s="420" t="s">
        <v>1574</v>
      </c>
      <c r="C167" s="400">
        <f>C168</f>
        <v>500</v>
      </c>
      <c r="D167" s="400">
        <f t="shared" ref="D167" si="73">D168</f>
        <v>500</v>
      </c>
      <c r="E167" s="387">
        <f t="shared" si="67"/>
        <v>100</v>
      </c>
    </row>
    <row r="168" spans="1:5" ht="57.2" customHeight="1" x14ac:dyDescent="0.25">
      <c r="A168" s="209" t="s">
        <v>1576</v>
      </c>
      <c r="B168" s="419" t="s">
        <v>1573</v>
      </c>
      <c r="C168" s="385">
        <v>500</v>
      </c>
      <c r="D168" s="385">
        <v>500</v>
      </c>
      <c r="E168" s="389">
        <f t="shared" si="67"/>
        <v>100</v>
      </c>
    </row>
    <row r="169" spans="1:5" ht="55.5" customHeight="1" x14ac:dyDescent="0.25">
      <c r="A169" s="303" t="s">
        <v>1518</v>
      </c>
      <c r="B169" s="420" t="s">
        <v>1520</v>
      </c>
      <c r="C169" s="400">
        <f>C170</f>
        <v>2408.6999999999998</v>
      </c>
      <c r="D169" s="400">
        <f t="shared" ref="D169" si="74">D170</f>
        <v>2178.9</v>
      </c>
      <c r="E169" s="387">
        <f t="shared" si="67"/>
        <v>90.459584007971117</v>
      </c>
    </row>
    <row r="170" spans="1:5" ht="67.900000000000006" customHeight="1" x14ac:dyDescent="0.25">
      <c r="A170" s="209" t="s">
        <v>1517</v>
      </c>
      <c r="B170" s="419" t="s">
        <v>1668</v>
      </c>
      <c r="C170" s="385">
        <f>1125.9+1282.8</f>
        <v>2408.6999999999998</v>
      </c>
      <c r="D170" s="385">
        <v>2178.9</v>
      </c>
      <c r="E170" s="389">
        <f t="shared" si="67"/>
        <v>90.459584007971117</v>
      </c>
    </row>
    <row r="171" spans="1:5" ht="31.5" x14ac:dyDescent="0.25">
      <c r="A171" s="302" t="s">
        <v>1592</v>
      </c>
      <c r="B171" s="243" t="s">
        <v>1593</v>
      </c>
      <c r="C171" s="387">
        <f>C172</f>
        <v>175.99</v>
      </c>
      <c r="D171" s="387">
        <f t="shared" ref="D171" si="75">D172</f>
        <v>175.99</v>
      </c>
      <c r="E171" s="387">
        <f t="shared" si="67"/>
        <v>100</v>
      </c>
    </row>
    <row r="172" spans="1:5" ht="31.5" x14ac:dyDescent="0.25">
      <c r="A172" s="403" t="s">
        <v>1591</v>
      </c>
      <c r="B172" s="235" t="s">
        <v>1590</v>
      </c>
      <c r="C172" s="389">
        <v>175.99</v>
      </c>
      <c r="D172" s="389">
        <v>175.99</v>
      </c>
      <c r="E172" s="387">
        <f t="shared" si="67"/>
        <v>100</v>
      </c>
    </row>
    <row r="173" spans="1:5" ht="21.2" customHeight="1" x14ac:dyDescent="0.25">
      <c r="A173" s="388" t="s">
        <v>843</v>
      </c>
      <c r="B173" s="243" t="s">
        <v>121</v>
      </c>
      <c r="C173" s="387">
        <f>C174</f>
        <v>3028.5</v>
      </c>
      <c r="D173" s="387">
        <f t="shared" ref="D173" si="76">D174</f>
        <v>3028.5</v>
      </c>
      <c r="E173" s="387">
        <f t="shared" si="67"/>
        <v>100</v>
      </c>
    </row>
    <row r="174" spans="1:5" ht="33" customHeight="1" x14ac:dyDescent="0.25">
      <c r="A174" s="9" t="s">
        <v>855</v>
      </c>
      <c r="B174" s="235" t="s">
        <v>1328</v>
      </c>
      <c r="C174" s="385">
        <f>SUM(C175:C177)</f>
        <v>3028.5</v>
      </c>
      <c r="D174" s="385">
        <f t="shared" ref="D174" si="77">SUM(D175:D177)</f>
        <v>3028.5</v>
      </c>
      <c r="E174" s="389">
        <f t="shared" si="67"/>
        <v>100</v>
      </c>
    </row>
    <row r="175" spans="1:5" ht="122.25" customHeight="1" x14ac:dyDescent="0.25">
      <c r="A175" s="366" t="s">
        <v>855</v>
      </c>
      <c r="B175" s="419" t="s">
        <v>809</v>
      </c>
      <c r="C175" s="385">
        <f>9263-6426.5</f>
        <v>2836.5</v>
      </c>
      <c r="D175" s="385">
        <v>2836.5</v>
      </c>
      <c r="E175" s="389">
        <f t="shared" si="67"/>
        <v>100</v>
      </c>
    </row>
    <row r="176" spans="1:5" ht="124.35" customHeight="1" x14ac:dyDescent="0.25">
      <c r="A176" s="365"/>
      <c r="B176" s="419" t="s">
        <v>810</v>
      </c>
      <c r="C176" s="385">
        <f>2100.6-1908.6</f>
        <v>192</v>
      </c>
      <c r="D176" s="385">
        <v>192</v>
      </c>
      <c r="E176" s="389">
        <f t="shared" si="67"/>
        <v>100</v>
      </c>
    </row>
    <row r="177" spans="1:8" ht="3.75" hidden="1" customHeight="1" x14ac:dyDescent="0.25">
      <c r="A177" s="331"/>
      <c r="B177" s="419" t="s">
        <v>1488</v>
      </c>
      <c r="C177" s="385">
        <f>813.5-813.5</f>
        <v>0</v>
      </c>
      <c r="D177" s="385">
        <f t="shared" ref="D177" si="78">813.5-813.5</f>
        <v>0</v>
      </c>
      <c r="E177" s="389" t="e">
        <f t="shared" si="67"/>
        <v>#DIV/0!</v>
      </c>
    </row>
    <row r="178" spans="1:8" s="381" customFormat="1" ht="55.7" hidden="1" customHeight="1" x14ac:dyDescent="0.25">
      <c r="A178" s="382" t="s">
        <v>1518</v>
      </c>
      <c r="B178" s="420" t="s">
        <v>1520</v>
      </c>
      <c r="C178" s="400">
        <f>C179</f>
        <v>2408.6999999999998</v>
      </c>
      <c r="D178" s="400">
        <f>D179</f>
        <v>2178.873</v>
      </c>
      <c r="E178" s="387">
        <f t="shared" si="67"/>
        <v>90.458463071366296</v>
      </c>
    </row>
    <row r="179" spans="1:8" s="381" customFormat="1" ht="65.25" hidden="1" customHeight="1" x14ac:dyDescent="0.25">
      <c r="A179" s="383" t="s">
        <v>1517</v>
      </c>
      <c r="B179" s="419" t="s">
        <v>1519</v>
      </c>
      <c r="C179" s="385">
        <v>2408.6999999999998</v>
      </c>
      <c r="D179" s="385">
        <v>2178.873</v>
      </c>
      <c r="E179" s="389">
        <f t="shared" si="67"/>
        <v>90.458463071366296</v>
      </c>
    </row>
    <row r="180" spans="1:8" ht="40.5" customHeight="1" x14ac:dyDescent="0.25">
      <c r="A180" s="401" t="s">
        <v>1669</v>
      </c>
      <c r="B180" s="200" t="s">
        <v>1670</v>
      </c>
      <c r="C180" s="400">
        <f>SUM(C181)</f>
        <v>22200</v>
      </c>
      <c r="D180" s="400">
        <f t="shared" ref="D180:D181" si="79">SUM(D181)</f>
        <v>18897.349999999999</v>
      </c>
      <c r="E180" s="387">
        <f t="shared" si="67"/>
        <v>85.123198198198196</v>
      </c>
    </row>
    <row r="181" spans="1:8" ht="34.5" customHeight="1" x14ac:dyDescent="0.25">
      <c r="A181" s="401" t="s">
        <v>1671</v>
      </c>
      <c r="B181" s="200" t="s">
        <v>1672</v>
      </c>
      <c r="C181" s="400">
        <f>SUM(C182)</f>
        <v>22200</v>
      </c>
      <c r="D181" s="400">
        <f t="shared" si="79"/>
        <v>18897.349999999999</v>
      </c>
      <c r="E181" s="387">
        <f t="shared" si="67"/>
        <v>85.123198198198196</v>
      </c>
    </row>
    <row r="182" spans="1:8" ht="31.5" x14ac:dyDescent="0.25">
      <c r="A182" s="424" t="s">
        <v>1532</v>
      </c>
      <c r="B182" s="204" t="s">
        <v>1534</v>
      </c>
      <c r="C182" s="400">
        <f>SUM(C184:C185)</f>
        <v>22200</v>
      </c>
      <c r="D182" s="400">
        <f t="shared" ref="D182" si="80">SUM(D184:D185)</f>
        <v>18897.349999999999</v>
      </c>
      <c r="E182" s="387">
        <f t="shared" si="67"/>
        <v>85.123198198198196</v>
      </c>
    </row>
    <row r="183" spans="1:8" ht="18.75" x14ac:dyDescent="0.25">
      <c r="A183" s="425"/>
      <c r="B183" s="204" t="s">
        <v>107</v>
      </c>
      <c r="C183" s="400"/>
      <c r="D183" s="400"/>
      <c r="E183" s="389"/>
    </row>
    <row r="184" spans="1:8" ht="94.7" customHeight="1" x14ac:dyDescent="0.25">
      <c r="A184" s="425"/>
      <c r="B184" s="204" t="s">
        <v>1533</v>
      </c>
      <c r="C184" s="385">
        <v>22200</v>
      </c>
      <c r="D184" s="385">
        <v>18897.349999999999</v>
      </c>
      <c r="E184" s="389">
        <f>D184/C184*100</f>
        <v>85.123198198198196</v>
      </c>
    </row>
    <row r="185" spans="1:8" ht="32.25" hidden="1" customHeight="1" x14ac:dyDescent="0.25">
      <c r="A185" s="425"/>
      <c r="B185" s="204" t="s">
        <v>876</v>
      </c>
      <c r="C185" s="385">
        <v>0</v>
      </c>
      <c r="D185" s="385">
        <v>0</v>
      </c>
      <c r="E185" s="389" t="e">
        <f>D185/C185*100</f>
        <v>#DIV/0!</v>
      </c>
    </row>
    <row r="186" spans="1:8" s="384" customFormat="1" ht="32.25" customHeight="1" x14ac:dyDescent="0.25">
      <c r="A186" s="401" t="s">
        <v>1658</v>
      </c>
      <c r="B186" s="200" t="s">
        <v>1660</v>
      </c>
      <c r="C186" s="400">
        <f>C187</f>
        <v>0</v>
      </c>
      <c r="D186" s="400">
        <f>D187</f>
        <v>-603.77</v>
      </c>
      <c r="E186" s="389" t="s">
        <v>1632</v>
      </c>
    </row>
    <row r="187" spans="1:8" s="384" customFormat="1" ht="32.25" customHeight="1" x14ac:dyDescent="0.25">
      <c r="A187" s="386" t="s">
        <v>1659</v>
      </c>
      <c r="B187" s="204" t="s">
        <v>1661</v>
      </c>
      <c r="C187" s="385">
        <v>0</v>
      </c>
      <c r="D187" s="385">
        <v>-603.77</v>
      </c>
      <c r="E187" s="389" t="s">
        <v>1632</v>
      </c>
    </row>
    <row r="188" spans="1:8" ht="18.75" x14ac:dyDescent="0.25">
      <c r="A188" s="209"/>
      <c r="B188" s="382" t="s">
        <v>122</v>
      </c>
      <c r="C188" s="387">
        <f>SUM(C9+C95)</f>
        <v>757611.66200000001</v>
      </c>
      <c r="D188" s="387">
        <f>SUM(D9+D95)</f>
        <v>769729.97211999993</v>
      </c>
      <c r="E188" s="387">
        <f>D188/C188*100</f>
        <v>101.59954112744371</v>
      </c>
      <c r="H188" s="116"/>
    </row>
    <row r="189" spans="1:8" x14ac:dyDescent="0.25">
      <c r="D189" s="402">
        <v>769729974.04999995</v>
      </c>
    </row>
    <row r="190" spans="1:8" x14ac:dyDescent="0.25">
      <c r="C190" s="179"/>
      <c r="D190" s="179"/>
      <c r="E190" s="179"/>
    </row>
  </sheetData>
  <mergeCells count="5">
    <mergeCell ref="A182:A185"/>
    <mergeCell ref="A142:A159"/>
    <mergeCell ref="A122:A137"/>
    <mergeCell ref="A5:E5"/>
    <mergeCell ref="A6:E6"/>
  </mergeCells>
  <hyperlinks>
    <hyperlink ref="B73" r:id="rId1" display="consultantplus://offline/ref=90DD075742B43C415054D7C57EEE35341F87E5BC1D9D1BDE3A747C0D881C15D50B24F795703DF0A84C588B73F9A8AC3C8A6AC02CDB9A5E68c4m2F"/>
    <hyperlink ref="B75" r:id="rId2" display="consultantplus://offline/ref=90DD075742B43C415054D7C57EEE35341F87E5BC1D9D1BDE3A747C0D881C15D50B24F795703DF2AD4E588B73F9A8AC3C8A6AC02CDB9A5E68c4m2F"/>
    <hyperlink ref="B77" r:id="rId3" display="consultantplus://offline/ref=90DD075742B43C415054D7C57EEE35341F87E5BC1D9D1BDE3A747C0D881C15D50B24F795703CF7A64B588B73F9A8AC3C8A6AC02CDB9A5E68c4m2F"/>
    <hyperlink ref="B76" r:id="rId4" display="consultantplus://offline/ref=90DD075742B43C415054D7C57EEE35341F87E5BC1D9D1BDE3A747C0D881C15D50B24F795703CF7A64B588B73F9A8AC3C8A6AC02CDB9A5E68c4m2F"/>
    <hyperlink ref="B72" r:id="rId5" display="consultantplus://offline/ref=90DD075742B43C415054D7C57EEE35341F87E5BC1D9D1BDE3A747C0D881C15D50B24F795703DF0A84C588B73F9A8AC3C8A6AC02CDB9A5E68c4m2F"/>
    <hyperlink ref="B74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0" fitToHeight="6" orientation="portrait" r:id="rId7"/>
  <ignoredErrors>
    <ignoredError sqref="C46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view="pageBreakPreview" topLeftCell="A1084" zoomScale="89" zoomScaleNormal="100" zoomScaleSheetLayoutView="89" workbookViewId="0">
      <selection activeCell="S1102" sqref="S1102"/>
    </sheetView>
  </sheetViews>
  <sheetFormatPr defaultRowHeight="15" x14ac:dyDescent="0.25"/>
  <cols>
    <col min="1" max="1" width="55" style="310" customWidth="1"/>
    <col min="2" max="2" width="6.42578125" style="310" customWidth="1"/>
    <col min="3" max="3" width="6" style="310" customWidth="1"/>
    <col min="4" max="4" width="5.140625" style="310" customWidth="1"/>
    <col min="5" max="5" width="15.85546875" style="310" customWidth="1"/>
    <col min="6" max="6" width="7" style="310" customWidth="1"/>
    <col min="7" max="7" width="14.42578125" style="310" customWidth="1"/>
    <col min="8" max="8" width="15" style="310" customWidth="1"/>
    <col min="9" max="9" width="13.28515625" hidden="1" customWidth="1"/>
    <col min="10" max="11" width="0" hidden="1" customWidth="1"/>
    <col min="13" max="13" width="13.42578125" customWidth="1"/>
  </cols>
  <sheetData>
    <row r="1" spans="1:12" ht="18.75" customHeight="1" x14ac:dyDescent="0.25">
      <c r="A1" s="63"/>
      <c r="B1" s="63"/>
      <c r="C1" s="63"/>
      <c r="D1" s="63"/>
      <c r="G1" s="430" t="s">
        <v>1604</v>
      </c>
      <c r="H1" s="430"/>
      <c r="I1" s="211"/>
    </row>
    <row r="2" spans="1:12" ht="18.75" customHeight="1" x14ac:dyDescent="0.25">
      <c r="A2" s="63"/>
      <c r="B2" s="63"/>
      <c r="C2" s="63"/>
      <c r="D2" s="63"/>
      <c r="G2" s="430" t="s">
        <v>1603</v>
      </c>
      <c r="H2" s="430"/>
      <c r="I2" s="211"/>
    </row>
    <row r="3" spans="1:12" s="210" customFormat="1" ht="18.75" customHeight="1" x14ac:dyDescent="0.25">
      <c r="A3" s="63"/>
      <c r="B3" s="63"/>
      <c r="C3" s="63"/>
      <c r="D3" s="63"/>
      <c r="E3" s="310"/>
      <c r="F3" s="310"/>
      <c r="G3" s="430" t="s">
        <v>1602</v>
      </c>
      <c r="H3" s="430"/>
      <c r="I3" s="211"/>
    </row>
    <row r="4" spans="1:12" ht="15.75" x14ac:dyDescent="0.25">
      <c r="A4" s="438"/>
      <c r="B4" s="438"/>
      <c r="C4" s="438"/>
      <c r="D4" s="438"/>
      <c r="E4" s="438"/>
      <c r="F4" s="438"/>
      <c r="I4" s="211"/>
    </row>
    <row r="5" spans="1:12" ht="15.75" x14ac:dyDescent="0.25">
      <c r="A5" s="436" t="s">
        <v>1346</v>
      </c>
      <c r="B5" s="436"/>
      <c r="C5" s="436"/>
      <c r="D5" s="436"/>
      <c r="E5" s="436"/>
      <c r="F5" s="436"/>
      <c r="G5" s="436"/>
      <c r="H5" s="436"/>
      <c r="I5" s="211"/>
    </row>
    <row r="6" spans="1:12" ht="15.75" x14ac:dyDescent="0.25">
      <c r="A6" s="330"/>
      <c r="B6" s="330"/>
      <c r="C6" s="330"/>
      <c r="D6" s="330"/>
      <c r="E6" s="330"/>
      <c r="F6" s="330"/>
      <c r="I6" s="211"/>
    </row>
    <row r="7" spans="1:12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211"/>
    </row>
    <row r="8" spans="1:12" ht="63" x14ac:dyDescent="0.25">
      <c r="A8" s="329" t="s">
        <v>125</v>
      </c>
      <c r="B8" s="329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1191</v>
      </c>
      <c r="H8" s="180" t="s">
        <v>1192</v>
      </c>
      <c r="I8" s="211"/>
    </row>
    <row r="9" spans="1:12" ht="31.5" x14ac:dyDescent="0.25">
      <c r="A9" s="315" t="s">
        <v>131</v>
      </c>
      <c r="B9" s="315">
        <v>901</v>
      </c>
      <c r="C9" s="316"/>
      <c r="D9" s="316"/>
      <c r="E9" s="316"/>
      <c r="F9" s="316"/>
      <c r="G9" s="317">
        <f>G10+G24</f>
        <v>19343</v>
      </c>
      <c r="H9" s="317">
        <f>H10+H24</f>
        <v>28071.599999999999</v>
      </c>
      <c r="I9" s="211"/>
    </row>
    <row r="10" spans="1:12" ht="15.75" x14ac:dyDescent="0.25">
      <c r="A10" s="318" t="s">
        <v>132</v>
      </c>
      <c r="B10" s="315">
        <v>901</v>
      </c>
      <c r="C10" s="319" t="s">
        <v>133</v>
      </c>
      <c r="D10" s="316"/>
      <c r="E10" s="316"/>
      <c r="F10" s="316"/>
      <c r="G10" s="317">
        <f t="shared" ref="G10:H12" si="0">G11</f>
        <v>11823.5</v>
      </c>
      <c r="H10" s="317">
        <f t="shared" si="0"/>
        <v>12697.5</v>
      </c>
      <c r="I10" s="211"/>
    </row>
    <row r="11" spans="1:12" ht="51" customHeight="1" x14ac:dyDescent="0.25">
      <c r="A11" s="318" t="s">
        <v>134</v>
      </c>
      <c r="B11" s="315">
        <v>901</v>
      </c>
      <c r="C11" s="319" t="s">
        <v>133</v>
      </c>
      <c r="D11" s="319" t="s">
        <v>135</v>
      </c>
      <c r="E11" s="319"/>
      <c r="F11" s="319"/>
      <c r="G11" s="317">
        <f t="shared" si="0"/>
        <v>11823.5</v>
      </c>
      <c r="H11" s="317">
        <f t="shared" si="0"/>
        <v>12697.5</v>
      </c>
      <c r="I11" s="211"/>
    </row>
    <row r="12" spans="1:12" ht="31.5" x14ac:dyDescent="0.25">
      <c r="A12" s="318" t="s">
        <v>988</v>
      </c>
      <c r="B12" s="315">
        <v>901</v>
      </c>
      <c r="C12" s="319" t="s">
        <v>133</v>
      </c>
      <c r="D12" s="319" t="s">
        <v>135</v>
      </c>
      <c r="E12" s="319" t="s">
        <v>902</v>
      </c>
      <c r="F12" s="319"/>
      <c r="G12" s="317">
        <f t="shared" si="0"/>
        <v>11823.5</v>
      </c>
      <c r="H12" s="317">
        <f t="shared" si="0"/>
        <v>12697.5</v>
      </c>
      <c r="I12" s="211"/>
    </row>
    <row r="13" spans="1:12" ht="15.75" x14ac:dyDescent="0.25">
      <c r="A13" s="318" t="s">
        <v>989</v>
      </c>
      <c r="B13" s="315">
        <v>901</v>
      </c>
      <c r="C13" s="319" t="s">
        <v>133</v>
      </c>
      <c r="D13" s="319" t="s">
        <v>135</v>
      </c>
      <c r="E13" s="319" t="s">
        <v>903</v>
      </c>
      <c r="F13" s="319"/>
      <c r="G13" s="317">
        <f>G14+G21</f>
        <v>11823.5</v>
      </c>
      <c r="H13" s="317">
        <f>H14+H21</f>
        <v>12697.5</v>
      </c>
      <c r="I13" s="211"/>
    </row>
    <row r="14" spans="1:12" ht="31.5" x14ac:dyDescent="0.25">
      <c r="A14" s="320" t="s">
        <v>965</v>
      </c>
      <c r="B14" s="314">
        <v>901</v>
      </c>
      <c r="C14" s="316" t="s">
        <v>133</v>
      </c>
      <c r="D14" s="316" t="s">
        <v>135</v>
      </c>
      <c r="E14" s="316" t="s">
        <v>904</v>
      </c>
      <c r="F14" s="316"/>
      <c r="G14" s="321">
        <f>G15+G17+G19</f>
        <v>11529.5</v>
      </c>
      <c r="H14" s="321">
        <f>H15+H17+H19</f>
        <v>12403.5</v>
      </c>
      <c r="I14" s="211"/>
    </row>
    <row r="15" spans="1:12" ht="78.75" x14ac:dyDescent="0.25">
      <c r="A15" s="320" t="s">
        <v>142</v>
      </c>
      <c r="B15" s="314">
        <v>901</v>
      </c>
      <c r="C15" s="316" t="s">
        <v>133</v>
      </c>
      <c r="D15" s="316" t="s">
        <v>135</v>
      </c>
      <c r="E15" s="316" t="s">
        <v>904</v>
      </c>
      <c r="F15" s="316" t="s">
        <v>143</v>
      </c>
      <c r="G15" s="321">
        <f>G16</f>
        <v>10701</v>
      </c>
      <c r="H15" s="321">
        <f>H16</f>
        <v>11575</v>
      </c>
      <c r="I15" s="211"/>
    </row>
    <row r="16" spans="1:12" ht="31.5" x14ac:dyDescent="0.25">
      <c r="A16" s="320" t="s">
        <v>144</v>
      </c>
      <c r="B16" s="314">
        <v>901</v>
      </c>
      <c r="C16" s="316" t="s">
        <v>133</v>
      </c>
      <c r="D16" s="316" t="s">
        <v>135</v>
      </c>
      <c r="E16" s="316" t="s">
        <v>904</v>
      </c>
      <c r="F16" s="316" t="s">
        <v>145</v>
      </c>
      <c r="G16" s="321">
        <f>11575-874</f>
        <v>10701</v>
      </c>
      <c r="H16" s="321">
        <v>11575</v>
      </c>
      <c r="I16" s="211"/>
      <c r="L16" t="s">
        <v>1568</v>
      </c>
    </row>
    <row r="17" spans="1:9" ht="31.5" x14ac:dyDescent="0.25">
      <c r="A17" s="320" t="s">
        <v>146</v>
      </c>
      <c r="B17" s="314">
        <v>901</v>
      </c>
      <c r="C17" s="316" t="s">
        <v>133</v>
      </c>
      <c r="D17" s="316" t="s">
        <v>135</v>
      </c>
      <c r="E17" s="316" t="s">
        <v>904</v>
      </c>
      <c r="F17" s="316" t="s">
        <v>147</v>
      </c>
      <c r="G17" s="321">
        <f>G18</f>
        <v>800.5</v>
      </c>
      <c r="H17" s="321">
        <f>H18</f>
        <v>800.5</v>
      </c>
      <c r="I17" s="211"/>
    </row>
    <row r="18" spans="1:9" ht="31.5" x14ac:dyDescent="0.25">
      <c r="A18" s="320" t="s">
        <v>148</v>
      </c>
      <c r="B18" s="314">
        <v>901</v>
      </c>
      <c r="C18" s="316" t="s">
        <v>133</v>
      </c>
      <c r="D18" s="316" t="s">
        <v>135</v>
      </c>
      <c r="E18" s="316" t="s">
        <v>904</v>
      </c>
      <c r="F18" s="316" t="s">
        <v>149</v>
      </c>
      <c r="G18" s="321">
        <f>977+173.5-350</f>
        <v>800.5</v>
      </c>
      <c r="H18" s="321">
        <f t="shared" ref="H18:H77" si="1">G18</f>
        <v>800.5</v>
      </c>
      <c r="I18" s="211"/>
    </row>
    <row r="19" spans="1:9" ht="15.75" x14ac:dyDescent="0.25">
      <c r="A19" s="320" t="s">
        <v>150</v>
      </c>
      <c r="B19" s="314">
        <v>901</v>
      </c>
      <c r="C19" s="316" t="s">
        <v>133</v>
      </c>
      <c r="D19" s="316" t="s">
        <v>135</v>
      </c>
      <c r="E19" s="316" t="s">
        <v>904</v>
      </c>
      <c r="F19" s="316" t="s">
        <v>151</v>
      </c>
      <c r="G19" s="321">
        <f>G20</f>
        <v>28</v>
      </c>
      <c r="H19" s="321">
        <f>H20</f>
        <v>28</v>
      </c>
      <c r="I19" s="211"/>
    </row>
    <row r="20" spans="1:9" ht="15.75" x14ac:dyDescent="0.25">
      <c r="A20" s="320" t="s">
        <v>583</v>
      </c>
      <c r="B20" s="314">
        <v>901</v>
      </c>
      <c r="C20" s="316" t="s">
        <v>133</v>
      </c>
      <c r="D20" s="316" t="s">
        <v>135</v>
      </c>
      <c r="E20" s="316" t="s">
        <v>904</v>
      </c>
      <c r="F20" s="316" t="s">
        <v>153</v>
      </c>
      <c r="G20" s="321">
        <v>28</v>
      </c>
      <c r="H20" s="321">
        <f t="shared" si="1"/>
        <v>28</v>
      </c>
      <c r="I20" s="211"/>
    </row>
    <row r="21" spans="1:9" ht="47.25" x14ac:dyDescent="0.25">
      <c r="A21" s="320" t="s">
        <v>883</v>
      </c>
      <c r="B21" s="314">
        <v>901</v>
      </c>
      <c r="C21" s="316" t="s">
        <v>133</v>
      </c>
      <c r="D21" s="316" t="s">
        <v>135</v>
      </c>
      <c r="E21" s="316" t="s">
        <v>906</v>
      </c>
      <c r="F21" s="316"/>
      <c r="G21" s="321">
        <f>G22</f>
        <v>294</v>
      </c>
      <c r="H21" s="321">
        <f>H22</f>
        <v>294</v>
      </c>
      <c r="I21" s="211"/>
    </row>
    <row r="22" spans="1:9" ht="78.75" x14ac:dyDescent="0.25">
      <c r="A22" s="320" t="s">
        <v>142</v>
      </c>
      <c r="B22" s="314">
        <v>901</v>
      </c>
      <c r="C22" s="316" t="s">
        <v>133</v>
      </c>
      <c r="D22" s="316" t="s">
        <v>135</v>
      </c>
      <c r="E22" s="316" t="s">
        <v>906</v>
      </c>
      <c r="F22" s="316" t="s">
        <v>143</v>
      </c>
      <c r="G22" s="321">
        <f>G23</f>
        <v>294</v>
      </c>
      <c r="H22" s="321">
        <f>H23</f>
        <v>294</v>
      </c>
      <c r="I22" s="211"/>
    </row>
    <row r="23" spans="1:9" ht="31.5" x14ac:dyDescent="0.25">
      <c r="A23" s="320" t="s">
        <v>144</v>
      </c>
      <c r="B23" s="314">
        <v>901</v>
      </c>
      <c r="C23" s="316" t="s">
        <v>133</v>
      </c>
      <c r="D23" s="316" t="s">
        <v>135</v>
      </c>
      <c r="E23" s="316" t="s">
        <v>906</v>
      </c>
      <c r="F23" s="316" t="s">
        <v>145</v>
      </c>
      <c r="G23" s="321">
        <f>294</f>
        <v>294</v>
      </c>
      <c r="H23" s="321">
        <f t="shared" si="1"/>
        <v>294</v>
      </c>
      <c r="I23" s="211"/>
    </row>
    <row r="24" spans="1:9" s="210" customFormat="1" ht="15.75" x14ac:dyDescent="0.25">
      <c r="A24" s="318" t="s">
        <v>154</v>
      </c>
      <c r="B24" s="315">
        <v>901</v>
      </c>
      <c r="C24" s="319" t="s">
        <v>133</v>
      </c>
      <c r="D24" s="319" t="s">
        <v>155</v>
      </c>
      <c r="E24" s="319"/>
      <c r="F24" s="319"/>
      <c r="G24" s="317">
        <f t="shared" ref="G24:H28" si="2">G25</f>
        <v>7519.5</v>
      </c>
      <c r="H24" s="317">
        <f t="shared" si="2"/>
        <v>15374.1</v>
      </c>
      <c r="I24" s="211"/>
    </row>
    <row r="25" spans="1:9" s="210" customFormat="1" ht="15.75" x14ac:dyDescent="0.25">
      <c r="A25" s="318" t="s">
        <v>156</v>
      </c>
      <c r="B25" s="315">
        <v>901</v>
      </c>
      <c r="C25" s="319" t="s">
        <v>133</v>
      </c>
      <c r="D25" s="319" t="s">
        <v>155</v>
      </c>
      <c r="E25" s="319" t="s">
        <v>910</v>
      </c>
      <c r="F25" s="319"/>
      <c r="G25" s="317">
        <f t="shared" si="2"/>
        <v>7519.5</v>
      </c>
      <c r="H25" s="317">
        <f t="shared" si="2"/>
        <v>15374.1</v>
      </c>
      <c r="I25" s="211"/>
    </row>
    <row r="26" spans="1:9" s="210" customFormat="1" ht="31.5" x14ac:dyDescent="0.25">
      <c r="A26" s="318" t="s">
        <v>914</v>
      </c>
      <c r="B26" s="315">
        <v>901</v>
      </c>
      <c r="C26" s="319" t="s">
        <v>133</v>
      </c>
      <c r="D26" s="319" t="s">
        <v>155</v>
      </c>
      <c r="E26" s="319" t="s">
        <v>909</v>
      </c>
      <c r="F26" s="319"/>
      <c r="G26" s="317">
        <f t="shared" si="2"/>
        <v>7519.5</v>
      </c>
      <c r="H26" s="317">
        <f t="shared" si="2"/>
        <v>15374.1</v>
      </c>
      <c r="I26" s="211"/>
    </row>
    <row r="27" spans="1:9" s="210" customFormat="1" ht="15.75" x14ac:dyDescent="0.25">
      <c r="A27" s="320" t="s">
        <v>1349</v>
      </c>
      <c r="B27" s="314">
        <v>901</v>
      </c>
      <c r="C27" s="316" t="s">
        <v>133</v>
      </c>
      <c r="D27" s="316" t="s">
        <v>155</v>
      </c>
      <c r="E27" s="316" t="s">
        <v>1350</v>
      </c>
      <c r="F27" s="316"/>
      <c r="G27" s="321">
        <f t="shared" si="2"/>
        <v>7519.5</v>
      </c>
      <c r="H27" s="321">
        <f t="shared" si="2"/>
        <v>15374.1</v>
      </c>
      <c r="I27" s="211"/>
    </row>
    <row r="28" spans="1:9" s="210" customFormat="1" ht="15.75" x14ac:dyDescent="0.25">
      <c r="A28" s="320" t="s">
        <v>150</v>
      </c>
      <c r="B28" s="314">
        <v>901</v>
      </c>
      <c r="C28" s="316" t="s">
        <v>133</v>
      </c>
      <c r="D28" s="316" t="s">
        <v>155</v>
      </c>
      <c r="E28" s="316" t="s">
        <v>1350</v>
      </c>
      <c r="F28" s="316" t="s">
        <v>160</v>
      </c>
      <c r="G28" s="321">
        <f>G29</f>
        <v>7519.5</v>
      </c>
      <c r="H28" s="321">
        <f t="shared" si="2"/>
        <v>15374.1</v>
      </c>
      <c r="I28" s="211"/>
    </row>
    <row r="29" spans="1:9" s="210" customFormat="1" ht="15.75" x14ac:dyDescent="0.25">
      <c r="A29" s="320" t="s">
        <v>1349</v>
      </c>
      <c r="B29" s="314">
        <v>901</v>
      </c>
      <c r="C29" s="316" t="s">
        <v>133</v>
      </c>
      <c r="D29" s="316" t="s">
        <v>155</v>
      </c>
      <c r="E29" s="316" t="s">
        <v>1350</v>
      </c>
      <c r="F29" s="316" t="s">
        <v>1351</v>
      </c>
      <c r="G29" s="321">
        <f>7519.5</f>
        <v>7519.5</v>
      </c>
      <c r="H29" s="321">
        <v>15374.1</v>
      </c>
      <c r="I29" s="211"/>
    </row>
    <row r="30" spans="1:9" ht="15.75" x14ac:dyDescent="0.25">
      <c r="A30" s="315" t="s">
        <v>163</v>
      </c>
      <c r="B30" s="315">
        <v>902</v>
      </c>
      <c r="C30" s="316"/>
      <c r="D30" s="316"/>
      <c r="E30" s="316"/>
      <c r="F30" s="316"/>
      <c r="G30" s="317">
        <f>G31+G141+G160+G190+G134</f>
        <v>85978.6</v>
      </c>
      <c r="H30" s="317">
        <f>H31+H141+H160+H190+H134</f>
        <v>81035.3</v>
      </c>
      <c r="I30" s="211"/>
    </row>
    <row r="31" spans="1:9" ht="15.75" x14ac:dyDescent="0.25">
      <c r="A31" s="318" t="s">
        <v>132</v>
      </c>
      <c r="B31" s="315">
        <v>902</v>
      </c>
      <c r="C31" s="319" t="s">
        <v>133</v>
      </c>
      <c r="D31" s="316"/>
      <c r="E31" s="316"/>
      <c r="F31" s="316"/>
      <c r="G31" s="317">
        <f>G32+G87+G104+G96</f>
        <v>59374.400000000001</v>
      </c>
      <c r="H31" s="317">
        <f>H32+H87+H104+H96</f>
        <v>59431.1</v>
      </c>
      <c r="I31" s="211"/>
    </row>
    <row r="32" spans="1:9" ht="63" x14ac:dyDescent="0.25">
      <c r="A32" s="318" t="s">
        <v>164</v>
      </c>
      <c r="B32" s="315">
        <v>902</v>
      </c>
      <c r="C32" s="319" t="s">
        <v>133</v>
      </c>
      <c r="D32" s="319" t="s">
        <v>165</v>
      </c>
      <c r="E32" s="319"/>
      <c r="F32" s="319"/>
      <c r="G32" s="317">
        <f>G33+G69</f>
        <v>51574.400000000001</v>
      </c>
      <c r="H32" s="317">
        <f>H33+H69</f>
        <v>51631.1</v>
      </c>
      <c r="I32" s="211"/>
    </row>
    <row r="33" spans="1:9" ht="31.5" x14ac:dyDescent="0.25">
      <c r="A33" s="318" t="s">
        <v>988</v>
      </c>
      <c r="B33" s="315">
        <v>902</v>
      </c>
      <c r="C33" s="319" t="s">
        <v>133</v>
      </c>
      <c r="D33" s="319" t="s">
        <v>165</v>
      </c>
      <c r="E33" s="319" t="s">
        <v>902</v>
      </c>
      <c r="F33" s="319"/>
      <c r="G33" s="44">
        <f>G34+G50</f>
        <v>51050.9</v>
      </c>
      <c r="H33" s="44">
        <f>H34+H50</f>
        <v>51107.6</v>
      </c>
      <c r="I33" s="211"/>
    </row>
    <row r="34" spans="1:9" ht="15.75" x14ac:dyDescent="0.25">
      <c r="A34" s="318" t="s">
        <v>989</v>
      </c>
      <c r="B34" s="315">
        <v>902</v>
      </c>
      <c r="C34" s="319" t="s">
        <v>133</v>
      </c>
      <c r="D34" s="319" t="s">
        <v>165</v>
      </c>
      <c r="E34" s="319" t="s">
        <v>903</v>
      </c>
      <c r="F34" s="319"/>
      <c r="G34" s="44">
        <f>G35+G44+G47</f>
        <v>47928</v>
      </c>
      <c r="H34" s="44">
        <f>H35+H44+H47</f>
        <v>47918</v>
      </c>
      <c r="I34" s="211"/>
    </row>
    <row r="35" spans="1:9" ht="31.5" x14ac:dyDescent="0.25">
      <c r="A35" s="320" t="s">
        <v>965</v>
      </c>
      <c r="B35" s="314">
        <v>902</v>
      </c>
      <c r="C35" s="316" t="s">
        <v>133</v>
      </c>
      <c r="D35" s="316" t="s">
        <v>165</v>
      </c>
      <c r="E35" s="316" t="s">
        <v>904</v>
      </c>
      <c r="F35" s="316"/>
      <c r="G35" s="321">
        <f>G36+G38+G40+G42</f>
        <v>43412</v>
      </c>
      <c r="H35" s="321">
        <f>H36+H38+H40+H42</f>
        <v>43402</v>
      </c>
      <c r="I35" s="211"/>
    </row>
    <row r="36" spans="1:9" ht="78.75" x14ac:dyDescent="0.25">
      <c r="A36" s="320" t="s">
        <v>142</v>
      </c>
      <c r="B36" s="314">
        <v>902</v>
      </c>
      <c r="C36" s="316" t="s">
        <v>133</v>
      </c>
      <c r="D36" s="316" t="s">
        <v>165</v>
      </c>
      <c r="E36" s="316" t="s">
        <v>904</v>
      </c>
      <c r="F36" s="316" t="s">
        <v>143</v>
      </c>
      <c r="G36" s="321">
        <f>G37</f>
        <v>37513</v>
      </c>
      <c r="H36" s="321">
        <f>H37</f>
        <v>37513</v>
      </c>
      <c r="I36" s="211"/>
    </row>
    <row r="37" spans="1:9" ht="31.5" x14ac:dyDescent="0.25">
      <c r="A37" s="320" t="s">
        <v>144</v>
      </c>
      <c r="B37" s="314">
        <v>902</v>
      </c>
      <c r="C37" s="316" t="s">
        <v>133</v>
      </c>
      <c r="D37" s="316" t="s">
        <v>165</v>
      </c>
      <c r="E37" s="316" t="s">
        <v>904</v>
      </c>
      <c r="F37" s="316" t="s">
        <v>145</v>
      </c>
      <c r="G37" s="321">
        <f>37513</f>
        <v>37513</v>
      </c>
      <c r="H37" s="321">
        <f t="shared" si="1"/>
        <v>37513</v>
      </c>
      <c r="I37" s="211"/>
    </row>
    <row r="38" spans="1:9" ht="31.5" x14ac:dyDescent="0.25">
      <c r="A38" s="320" t="s">
        <v>146</v>
      </c>
      <c r="B38" s="314">
        <v>902</v>
      </c>
      <c r="C38" s="316" t="s">
        <v>133</v>
      </c>
      <c r="D38" s="316" t="s">
        <v>165</v>
      </c>
      <c r="E38" s="316" t="s">
        <v>904</v>
      </c>
      <c r="F38" s="316" t="s">
        <v>147</v>
      </c>
      <c r="G38" s="321">
        <f>G39</f>
        <v>5069</v>
      </c>
      <c r="H38" s="321">
        <f>H39</f>
        <v>5059</v>
      </c>
      <c r="I38" s="211"/>
    </row>
    <row r="39" spans="1:9" ht="31.5" x14ac:dyDescent="0.25">
      <c r="A39" s="320" t="s">
        <v>148</v>
      </c>
      <c r="B39" s="314">
        <v>902</v>
      </c>
      <c r="C39" s="316" t="s">
        <v>133</v>
      </c>
      <c r="D39" s="316" t="s">
        <v>165</v>
      </c>
      <c r="E39" s="316" t="s">
        <v>904</v>
      </c>
      <c r="F39" s="316" t="s">
        <v>149</v>
      </c>
      <c r="G39" s="321">
        <f>5912-809-18.9-15.1</f>
        <v>5069</v>
      </c>
      <c r="H39" s="321">
        <f>G39-10</f>
        <v>5059</v>
      </c>
      <c r="I39" s="211"/>
    </row>
    <row r="40" spans="1:9" ht="31.5" x14ac:dyDescent="0.25">
      <c r="A40" s="320" t="s">
        <v>263</v>
      </c>
      <c r="B40" s="314">
        <v>902</v>
      </c>
      <c r="C40" s="316" t="s">
        <v>133</v>
      </c>
      <c r="D40" s="316" t="s">
        <v>165</v>
      </c>
      <c r="E40" s="316" t="s">
        <v>904</v>
      </c>
      <c r="F40" s="316" t="s">
        <v>264</v>
      </c>
      <c r="G40" s="321">
        <f>G41</f>
        <v>755</v>
      </c>
      <c r="H40" s="321">
        <f>H41</f>
        <v>755</v>
      </c>
      <c r="I40" s="211"/>
    </row>
    <row r="41" spans="1:9" ht="31.5" x14ac:dyDescent="0.25">
      <c r="A41" s="320" t="s">
        <v>265</v>
      </c>
      <c r="B41" s="314">
        <v>902</v>
      </c>
      <c r="C41" s="316" t="s">
        <v>133</v>
      </c>
      <c r="D41" s="316" t="s">
        <v>165</v>
      </c>
      <c r="E41" s="316" t="s">
        <v>904</v>
      </c>
      <c r="F41" s="316" t="s">
        <v>266</v>
      </c>
      <c r="G41" s="321">
        <f>755</f>
        <v>755</v>
      </c>
      <c r="H41" s="321">
        <f t="shared" si="1"/>
        <v>755</v>
      </c>
      <c r="I41" s="211"/>
    </row>
    <row r="42" spans="1:9" ht="15.75" x14ac:dyDescent="0.25">
      <c r="A42" s="320" t="s">
        <v>150</v>
      </c>
      <c r="B42" s="314">
        <v>902</v>
      </c>
      <c r="C42" s="316" t="s">
        <v>133</v>
      </c>
      <c r="D42" s="316" t="s">
        <v>165</v>
      </c>
      <c r="E42" s="316" t="s">
        <v>904</v>
      </c>
      <c r="F42" s="316" t="s">
        <v>160</v>
      </c>
      <c r="G42" s="321">
        <f>G43</f>
        <v>75</v>
      </c>
      <c r="H42" s="321">
        <f>H43</f>
        <v>75</v>
      </c>
      <c r="I42" s="211"/>
    </row>
    <row r="43" spans="1:9" ht="15.75" x14ac:dyDescent="0.25">
      <c r="A43" s="320" t="s">
        <v>583</v>
      </c>
      <c r="B43" s="314">
        <v>902</v>
      </c>
      <c r="C43" s="316" t="s">
        <v>133</v>
      </c>
      <c r="D43" s="316" t="s">
        <v>165</v>
      </c>
      <c r="E43" s="316" t="s">
        <v>904</v>
      </c>
      <c r="F43" s="316" t="s">
        <v>153</v>
      </c>
      <c r="G43" s="321">
        <f>75</f>
        <v>75</v>
      </c>
      <c r="H43" s="321">
        <f t="shared" si="1"/>
        <v>75</v>
      </c>
      <c r="I43" s="211"/>
    </row>
    <row r="44" spans="1:9" ht="31.5" x14ac:dyDescent="0.25">
      <c r="A44" s="320" t="s">
        <v>884</v>
      </c>
      <c r="B44" s="314">
        <v>902</v>
      </c>
      <c r="C44" s="316" t="s">
        <v>133</v>
      </c>
      <c r="D44" s="316" t="s">
        <v>165</v>
      </c>
      <c r="E44" s="316" t="s">
        <v>905</v>
      </c>
      <c r="F44" s="316"/>
      <c r="G44" s="321">
        <f>G45</f>
        <v>2962</v>
      </c>
      <c r="H44" s="321">
        <f t="shared" si="1"/>
        <v>2962</v>
      </c>
      <c r="I44" s="211"/>
    </row>
    <row r="45" spans="1:9" ht="78.75" x14ac:dyDescent="0.25">
      <c r="A45" s="320" t="s">
        <v>142</v>
      </c>
      <c r="B45" s="314">
        <v>902</v>
      </c>
      <c r="C45" s="316" t="s">
        <v>133</v>
      </c>
      <c r="D45" s="316" t="s">
        <v>165</v>
      </c>
      <c r="E45" s="316" t="s">
        <v>905</v>
      </c>
      <c r="F45" s="316" t="s">
        <v>143</v>
      </c>
      <c r="G45" s="321">
        <f>G46</f>
        <v>2962</v>
      </c>
      <c r="H45" s="321">
        <f>H46</f>
        <v>2962</v>
      </c>
      <c r="I45" s="211"/>
    </row>
    <row r="46" spans="1:9" ht="31.5" x14ac:dyDescent="0.25">
      <c r="A46" s="320" t="s">
        <v>144</v>
      </c>
      <c r="B46" s="314">
        <v>902</v>
      </c>
      <c r="C46" s="316" t="s">
        <v>133</v>
      </c>
      <c r="D46" s="316" t="s">
        <v>165</v>
      </c>
      <c r="E46" s="316" t="s">
        <v>905</v>
      </c>
      <c r="F46" s="316" t="s">
        <v>145</v>
      </c>
      <c r="G46" s="321">
        <f>2962</f>
        <v>2962</v>
      </c>
      <c r="H46" s="321">
        <f t="shared" si="1"/>
        <v>2962</v>
      </c>
      <c r="I46" s="211"/>
    </row>
    <row r="47" spans="1:9" ht="47.25" x14ac:dyDescent="0.25">
      <c r="A47" s="320" t="s">
        <v>883</v>
      </c>
      <c r="B47" s="314">
        <v>902</v>
      </c>
      <c r="C47" s="316" t="s">
        <v>133</v>
      </c>
      <c r="D47" s="316" t="s">
        <v>165</v>
      </c>
      <c r="E47" s="316" t="s">
        <v>906</v>
      </c>
      <c r="F47" s="316"/>
      <c r="G47" s="321">
        <f>G48</f>
        <v>1554</v>
      </c>
      <c r="H47" s="321">
        <f>H48</f>
        <v>1554</v>
      </c>
      <c r="I47" s="211"/>
    </row>
    <row r="48" spans="1:9" ht="78.75" x14ac:dyDescent="0.25">
      <c r="A48" s="320" t="s">
        <v>142</v>
      </c>
      <c r="B48" s="314">
        <v>902</v>
      </c>
      <c r="C48" s="316" t="s">
        <v>133</v>
      </c>
      <c r="D48" s="316" t="s">
        <v>165</v>
      </c>
      <c r="E48" s="316" t="s">
        <v>906</v>
      </c>
      <c r="F48" s="316" t="s">
        <v>143</v>
      </c>
      <c r="G48" s="321">
        <f>G49</f>
        <v>1554</v>
      </c>
      <c r="H48" s="321">
        <f>H49</f>
        <v>1554</v>
      </c>
      <c r="I48" s="211"/>
    </row>
    <row r="49" spans="1:9" ht="31.5" x14ac:dyDescent="0.25">
      <c r="A49" s="320" t="s">
        <v>144</v>
      </c>
      <c r="B49" s="314">
        <v>902</v>
      </c>
      <c r="C49" s="316" t="s">
        <v>133</v>
      </c>
      <c r="D49" s="316" t="s">
        <v>165</v>
      </c>
      <c r="E49" s="316" t="s">
        <v>906</v>
      </c>
      <c r="F49" s="316" t="s">
        <v>145</v>
      </c>
      <c r="G49" s="321">
        <f>1554</f>
        <v>1554</v>
      </c>
      <c r="H49" s="321">
        <f t="shared" si="1"/>
        <v>1554</v>
      </c>
      <c r="I49" s="211"/>
    </row>
    <row r="50" spans="1:9" ht="31.5" x14ac:dyDescent="0.25">
      <c r="A50" s="318" t="s">
        <v>930</v>
      </c>
      <c r="B50" s="315">
        <v>902</v>
      </c>
      <c r="C50" s="319" t="s">
        <v>133</v>
      </c>
      <c r="D50" s="319" t="s">
        <v>165</v>
      </c>
      <c r="E50" s="319" t="s">
        <v>907</v>
      </c>
      <c r="F50" s="319"/>
      <c r="G50" s="317">
        <f>G51+G54+G59+G64</f>
        <v>3122.9</v>
      </c>
      <c r="H50" s="317">
        <f>H51+H54+H59+H64</f>
        <v>3189.6</v>
      </c>
      <c r="I50" s="211"/>
    </row>
    <row r="51" spans="1:9" ht="47.25" x14ac:dyDescent="0.25">
      <c r="A51" s="320" t="s">
        <v>800</v>
      </c>
      <c r="B51" s="314">
        <v>902</v>
      </c>
      <c r="C51" s="316" t="s">
        <v>133</v>
      </c>
      <c r="D51" s="316" t="s">
        <v>165</v>
      </c>
      <c r="E51" s="316" t="s">
        <v>990</v>
      </c>
      <c r="F51" s="319"/>
      <c r="G51" s="321">
        <f>G52</f>
        <v>6.3</v>
      </c>
      <c r="H51" s="321">
        <f>H52</f>
        <v>51</v>
      </c>
      <c r="I51" s="211"/>
    </row>
    <row r="52" spans="1:9" ht="31.5" x14ac:dyDescent="0.25">
      <c r="A52" s="320" t="s">
        <v>146</v>
      </c>
      <c r="B52" s="314">
        <v>902</v>
      </c>
      <c r="C52" s="316" t="s">
        <v>133</v>
      </c>
      <c r="D52" s="316" t="s">
        <v>165</v>
      </c>
      <c r="E52" s="316" t="s">
        <v>990</v>
      </c>
      <c r="F52" s="316" t="s">
        <v>147</v>
      </c>
      <c r="G52" s="321">
        <f>G53</f>
        <v>6.3</v>
      </c>
      <c r="H52" s="321">
        <f>H53</f>
        <v>51</v>
      </c>
      <c r="I52" s="211"/>
    </row>
    <row r="53" spans="1:9" ht="31.5" x14ac:dyDescent="0.25">
      <c r="A53" s="320" t="s">
        <v>148</v>
      </c>
      <c r="B53" s="314">
        <v>902</v>
      </c>
      <c r="C53" s="316" t="s">
        <v>133</v>
      </c>
      <c r="D53" s="316" t="s">
        <v>165</v>
      </c>
      <c r="E53" s="316" t="s">
        <v>990</v>
      </c>
      <c r="F53" s="316" t="s">
        <v>149</v>
      </c>
      <c r="G53" s="321">
        <v>6.3</v>
      </c>
      <c r="H53" s="321">
        <v>51</v>
      </c>
      <c r="I53" s="211"/>
    </row>
    <row r="54" spans="1:9" ht="47.25" x14ac:dyDescent="0.25">
      <c r="A54" s="31" t="s">
        <v>204</v>
      </c>
      <c r="B54" s="314">
        <v>902</v>
      </c>
      <c r="C54" s="316" t="s">
        <v>133</v>
      </c>
      <c r="D54" s="316" t="s">
        <v>165</v>
      </c>
      <c r="E54" s="316" t="s">
        <v>991</v>
      </c>
      <c r="F54" s="316"/>
      <c r="G54" s="321">
        <f>G55+G57</f>
        <v>567.40000000000009</v>
      </c>
      <c r="H54" s="321">
        <f>H55+H57</f>
        <v>589.40000000000009</v>
      </c>
      <c r="I54" s="211"/>
    </row>
    <row r="55" spans="1:9" ht="78.75" x14ac:dyDescent="0.25">
      <c r="A55" s="320" t="s">
        <v>142</v>
      </c>
      <c r="B55" s="314">
        <v>902</v>
      </c>
      <c r="C55" s="316" t="s">
        <v>133</v>
      </c>
      <c r="D55" s="316" t="s">
        <v>165</v>
      </c>
      <c r="E55" s="316" t="s">
        <v>991</v>
      </c>
      <c r="F55" s="316" t="s">
        <v>143</v>
      </c>
      <c r="G55" s="321">
        <f>G56</f>
        <v>528.70000000000005</v>
      </c>
      <c r="H55" s="321">
        <f>H56</f>
        <v>528.70000000000005</v>
      </c>
      <c r="I55" s="211"/>
    </row>
    <row r="56" spans="1:9" ht="31.5" x14ac:dyDescent="0.25">
      <c r="A56" s="320" t="s">
        <v>144</v>
      </c>
      <c r="B56" s="314">
        <v>902</v>
      </c>
      <c r="C56" s="316" t="s">
        <v>133</v>
      </c>
      <c r="D56" s="316" t="s">
        <v>165</v>
      </c>
      <c r="E56" s="316" t="s">
        <v>991</v>
      </c>
      <c r="F56" s="316" t="s">
        <v>145</v>
      </c>
      <c r="G56" s="321">
        <f>528.7</f>
        <v>528.70000000000005</v>
      </c>
      <c r="H56" s="321">
        <f t="shared" si="1"/>
        <v>528.70000000000005</v>
      </c>
      <c r="I56" s="211"/>
    </row>
    <row r="57" spans="1:9" ht="31.5" x14ac:dyDescent="0.25">
      <c r="A57" s="320" t="s">
        <v>146</v>
      </c>
      <c r="B57" s="314">
        <v>902</v>
      </c>
      <c r="C57" s="316" t="s">
        <v>133</v>
      </c>
      <c r="D57" s="316" t="s">
        <v>165</v>
      </c>
      <c r="E57" s="316" t="s">
        <v>991</v>
      </c>
      <c r="F57" s="316" t="s">
        <v>147</v>
      </c>
      <c r="G57" s="321">
        <f>G58</f>
        <v>38.700000000000003</v>
      </c>
      <c r="H57" s="321">
        <f>H58</f>
        <v>60.7</v>
      </c>
      <c r="I57" s="211"/>
    </row>
    <row r="58" spans="1:9" ht="31.5" x14ac:dyDescent="0.25">
      <c r="A58" s="320" t="s">
        <v>148</v>
      </c>
      <c r="B58" s="314">
        <v>902</v>
      </c>
      <c r="C58" s="316" t="s">
        <v>133</v>
      </c>
      <c r="D58" s="316" t="s">
        <v>165</v>
      </c>
      <c r="E58" s="316" t="s">
        <v>991</v>
      </c>
      <c r="F58" s="316" t="s">
        <v>149</v>
      </c>
      <c r="G58" s="321">
        <v>38.700000000000003</v>
      </c>
      <c r="H58" s="321">
        <v>60.7</v>
      </c>
      <c r="I58" s="211"/>
    </row>
    <row r="59" spans="1:9" ht="47.25" x14ac:dyDescent="0.25">
      <c r="A59" s="31" t="s">
        <v>209</v>
      </c>
      <c r="B59" s="314">
        <v>902</v>
      </c>
      <c r="C59" s="316" t="s">
        <v>133</v>
      </c>
      <c r="D59" s="316" t="s">
        <v>165</v>
      </c>
      <c r="E59" s="316" t="s">
        <v>1193</v>
      </c>
      <c r="F59" s="316"/>
      <c r="G59" s="321">
        <f>G60+G62</f>
        <v>1433.3</v>
      </c>
      <c r="H59" s="321">
        <f>H60+H62</f>
        <v>1433.3</v>
      </c>
      <c r="I59" s="211"/>
    </row>
    <row r="60" spans="1:9" ht="78.75" x14ac:dyDescent="0.25">
      <c r="A60" s="320" t="s">
        <v>142</v>
      </c>
      <c r="B60" s="314">
        <v>902</v>
      </c>
      <c r="C60" s="316" t="s">
        <v>133</v>
      </c>
      <c r="D60" s="316" t="s">
        <v>165</v>
      </c>
      <c r="E60" s="316" t="s">
        <v>1193</v>
      </c>
      <c r="F60" s="316" t="s">
        <v>143</v>
      </c>
      <c r="G60" s="321">
        <f>G61</f>
        <v>1372.1</v>
      </c>
      <c r="H60" s="321">
        <f>H61</f>
        <v>1372.1</v>
      </c>
      <c r="I60" s="211"/>
    </row>
    <row r="61" spans="1:9" ht="31.5" x14ac:dyDescent="0.25">
      <c r="A61" s="320" t="s">
        <v>144</v>
      </c>
      <c r="B61" s="314">
        <v>902</v>
      </c>
      <c r="C61" s="316" t="s">
        <v>133</v>
      </c>
      <c r="D61" s="316" t="s">
        <v>165</v>
      </c>
      <c r="E61" s="316" t="s">
        <v>1193</v>
      </c>
      <c r="F61" s="316" t="s">
        <v>145</v>
      </c>
      <c r="G61" s="321">
        <f>1372.1</f>
        <v>1372.1</v>
      </c>
      <c r="H61" s="321">
        <f t="shared" si="1"/>
        <v>1372.1</v>
      </c>
      <c r="I61" s="211"/>
    </row>
    <row r="62" spans="1:9" ht="31.5" x14ac:dyDescent="0.25">
      <c r="A62" s="320" t="s">
        <v>146</v>
      </c>
      <c r="B62" s="314">
        <v>902</v>
      </c>
      <c r="C62" s="316" t="s">
        <v>133</v>
      </c>
      <c r="D62" s="316" t="s">
        <v>165</v>
      </c>
      <c r="E62" s="316" t="s">
        <v>1193</v>
      </c>
      <c r="F62" s="316" t="s">
        <v>147</v>
      </c>
      <c r="G62" s="321">
        <f>G63</f>
        <v>61.2</v>
      </c>
      <c r="H62" s="321">
        <f>H63</f>
        <v>61.2</v>
      </c>
      <c r="I62" s="211"/>
    </row>
    <row r="63" spans="1:9" ht="31.5" x14ac:dyDescent="0.25">
      <c r="A63" s="320" t="s">
        <v>148</v>
      </c>
      <c r="B63" s="314">
        <v>902</v>
      </c>
      <c r="C63" s="316" t="s">
        <v>133</v>
      </c>
      <c r="D63" s="316" t="s">
        <v>165</v>
      </c>
      <c r="E63" s="316" t="s">
        <v>1193</v>
      </c>
      <c r="F63" s="316" t="s">
        <v>149</v>
      </c>
      <c r="G63" s="321">
        <f>61.2</f>
        <v>61.2</v>
      </c>
      <c r="H63" s="321">
        <f t="shared" si="1"/>
        <v>61.2</v>
      </c>
      <c r="I63" s="211"/>
    </row>
    <row r="64" spans="1:9" ht="47.25" x14ac:dyDescent="0.25">
      <c r="A64" s="31" t="s">
        <v>211</v>
      </c>
      <c r="B64" s="314">
        <v>902</v>
      </c>
      <c r="C64" s="316" t="s">
        <v>133</v>
      </c>
      <c r="D64" s="316" t="s">
        <v>165</v>
      </c>
      <c r="E64" s="316" t="s">
        <v>992</v>
      </c>
      <c r="F64" s="316"/>
      <c r="G64" s="321">
        <f>G65+G67</f>
        <v>1115.9000000000001</v>
      </c>
      <c r="H64" s="321">
        <f>H65+H67</f>
        <v>1115.9000000000001</v>
      </c>
      <c r="I64" s="211"/>
    </row>
    <row r="65" spans="1:9" ht="78.75" x14ac:dyDescent="0.25">
      <c r="A65" s="320" t="s">
        <v>142</v>
      </c>
      <c r="B65" s="314">
        <v>902</v>
      </c>
      <c r="C65" s="316" t="s">
        <v>133</v>
      </c>
      <c r="D65" s="316" t="s">
        <v>165</v>
      </c>
      <c r="E65" s="316" t="s">
        <v>992</v>
      </c>
      <c r="F65" s="316" t="s">
        <v>143</v>
      </c>
      <c r="G65" s="321">
        <f>G66</f>
        <v>1026.5</v>
      </c>
      <c r="H65" s="321">
        <f>H66</f>
        <v>1026.5</v>
      </c>
      <c r="I65" s="211"/>
    </row>
    <row r="66" spans="1:9" ht="31.5" x14ac:dyDescent="0.25">
      <c r="A66" s="320" t="s">
        <v>144</v>
      </c>
      <c r="B66" s="314">
        <v>902</v>
      </c>
      <c r="C66" s="316" t="s">
        <v>133</v>
      </c>
      <c r="D66" s="316" t="s">
        <v>165</v>
      </c>
      <c r="E66" s="316" t="s">
        <v>992</v>
      </c>
      <c r="F66" s="316" t="s">
        <v>145</v>
      </c>
      <c r="G66" s="321">
        <f>1026.5</f>
        <v>1026.5</v>
      </c>
      <c r="H66" s="321">
        <f t="shared" si="1"/>
        <v>1026.5</v>
      </c>
      <c r="I66" s="211"/>
    </row>
    <row r="67" spans="1:9" ht="31.5" x14ac:dyDescent="0.25">
      <c r="A67" s="320" t="s">
        <v>213</v>
      </c>
      <c r="B67" s="314">
        <v>902</v>
      </c>
      <c r="C67" s="316" t="s">
        <v>133</v>
      </c>
      <c r="D67" s="316" t="s">
        <v>165</v>
      </c>
      <c r="E67" s="316" t="s">
        <v>992</v>
      </c>
      <c r="F67" s="316" t="s">
        <v>147</v>
      </c>
      <c r="G67" s="321">
        <f>G68</f>
        <v>89.4</v>
      </c>
      <c r="H67" s="321">
        <f>H68</f>
        <v>89.4</v>
      </c>
      <c r="I67" s="211"/>
    </row>
    <row r="68" spans="1:9" ht="31.5" x14ac:dyDescent="0.25">
      <c r="A68" s="320" t="s">
        <v>148</v>
      </c>
      <c r="B68" s="314">
        <v>902</v>
      </c>
      <c r="C68" s="316" t="s">
        <v>133</v>
      </c>
      <c r="D68" s="316" t="s">
        <v>165</v>
      </c>
      <c r="E68" s="316" t="s">
        <v>992</v>
      </c>
      <c r="F68" s="316" t="s">
        <v>149</v>
      </c>
      <c r="G68" s="321">
        <f>89.4</f>
        <v>89.4</v>
      </c>
      <c r="H68" s="321">
        <f t="shared" si="1"/>
        <v>89.4</v>
      </c>
      <c r="I68" s="211"/>
    </row>
    <row r="69" spans="1:9" ht="47.25" x14ac:dyDescent="0.25">
      <c r="A69" s="318" t="s">
        <v>1414</v>
      </c>
      <c r="B69" s="315">
        <v>902</v>
      </c>
      <c r="C69" s="319" t="s">
        <v>133</v>
      </c>
      <c r="D69" s="319" t="s">
        <v>165</v>
      </c>
      <c r="E69" s="319" t="s">
        <v>177</v>
      </c>
      <c r="F69" s="319"/>
      <c r="G69" s="317">
        <f>G70+G74+G80</f>
        <v>523.5</v>
      </c>
      <c r="H69" s="317">
        <f>H70+H74+H80</f>
        <v>523.5</v>
      </c>
      <c r="I69" s="211"/>
    </row>
    <row r="70" spans="1:9" ht="63" x14ac:dyDescent="0.25">
      <c r="A70" s="226" t="s">
        <v>1153</v>
      </c>
      <c r="B70" s="315">
        <v>902</v>
      </c>
      <c r="C70" s="319" t="s">
        <v>133</v>
      </c>
      <c r="D70" s="319" t="s">
        <v>165</v>
      </c>
      <c r="E70" s="312" t="s">
        <v>893</v>
      </c>
      <c r="F70" s="319"/>
      <c r="G70" s="317">
        <f t="shared" ref="G70:H72" si="3">G71</f>
        <v>446</v>
      </c>
      <c r="H70" s="317">
        <f t="shared" si="3"/>
        <v>446</v>
      </c>
      <c r="I70" s="211"/>
    </row>
    <row r="71" spans="1:9" ht="31.5" x14ac:dyDescent="0.25">
      <c r="A71" s="323" t="s">
        <v>1152</v>
      </c>
      <c r="B71" s="314">
        <v>902</v>
      </c>
      <c r="C71" s="316" t="s">
        <v>133</v>
      </c>
      <c r="D71" s="316" t="s">
        <v>165</v>
      </c>
      <c r="E71" s="324" t="s">
        <v>885</v>
      </c>
      <c r="F71" s="316"/>
      <c r="G71" s="321">
        <f t="shared" si="3"/>
        <v>446</v>
      </c>
      <c r="H71" s="321">
        <f t="shared" si="3"/>
        <v>446</v>
      </c>
      <c r="I71" s="211"/>
    </row>
    <row r="72" spans="1:9" ht="31.5" x14ac:dyDescent="0.25">
      <c r="A72" s="320" t="s">
        <v>146</v>
      </c>
      <c r="B72" s="314">
        <v>902</v>
      </c>
      <c r="C72" s="316" t="s">
        <v>133</v>
      </c>
      <c r="D72" s="316" t="s">
        <v>165</v>
      </c>
      <c r="E72" s="324" t="s">
        <v>885</v>
      </c>
      <c r="F72" s="316" t="s">
        <v>147</v>
      </c>
      <c r="G72" s="321">
        <f t="shared" si="3"/>
        <v>446</v>
      </c>
      <c r="H72" s="321">
        <f t="shared" si="3"/>
        <v>446</v>
      </c>
      <c r="I72" s="211"/>
    </row>
    <row r="73" spans="1:9" ht="31.5" x14ac:dyDescent="0.25">
      <c r="A73" s="320" t="s">
        <v>148</v>
      </c>
      <c r="B73" s="314">
        <v>902</v>
      </c>
      <c r="C73" s="316" t="s">
        <v>133</v>
      </c>
      <c r="D73" s="316" t="s">
        <v>165</v>
      </c>
      <c r="E73" s="324" t="s">
        <v>885</v>
      </c>
      <c r="F73" s="316" t="s">
        <v>149</v>
      </c>
      <c r="G73" s="321">
        <f>446</f>
        <v>446</v>
      </c>
      <c r="H73" s="321">
        <f t="shared" si="1"/>
        <v>446</v>
      </c>
      <c r="I73" s="211"/>
    </row>
    <row r="74" spans="1:9" ht="63" x14ac:dyDescent="0.25">
      <c r="A74" s="225" t="s">
        <v>887</v>
      </c>
      <c r="B74" s="315">
        <v>902</v>
      </c>
      <c r="C74" s="319" t="s">
        <v>133</v>
      </c>
      <c r="D74" s="319" t="s">
        <v>165</v>
      </c>
      <c r="E74" s="312" t="s">
        <v>894</v>
      </c>
      <c r="F74" s="319"/>
      <c r="G74" s="317">
        <f>G75</f>
        <v>77</v>
      </c>
      <c r="H74" s="317">
        <f>H75</f>
        <v>77</v>
      </c>
      <c r="I74" s="211"/>
    </row>
    <row r="75" spans="1:9" ht="47.25" x14ac:dyDescent="0.25">
      <c r="A75" s="178" t="s">
        <v>180</v>
      </c>
      <c r="B75" s="314">
        <v>902</v>
      </c>
      <c r="C75" s="316" t="s">
        <v>133</v>
      </c>
      <c r="D75" s="316" t="s">
        <v>165</v>
      </c>
      <c r="E75" s="324" t="s">
        <v>886</v>
      </c>
      <c r="F75" s="316"/>
      <c r="G75" s="321">
        <f>G76+G78</f>
        <v>77</v>
      </c>
      <c r="H75" s="321">
        <f>H76+H78</f>
        <v>77</v>
      </c>
      <c r="I75" s="211"/>
    </row>
    <row r="76" spans="1:9" ht="78.75" x14ac:dyDescent="0.25">
      <c r="A76" s="320" t="s">
        <v>142</v>
      </c>
      <c r="B76" s="314">
        <v>902</v>
      </c>
      <c r="C76" s="316" t="s">
        <v>133</v>
      </c>
      <c r="D76" s="316" t="s">
        <v>165</v>
      </c>
      <c r="E76" s="324" t="s">
        <v>886</v>
      </c>
      <c r="F76" s="316" t="s">
        <v>143</v>
      </c>
      <c r="G76" s="321">
        <f>G77</f>
        <v>37</v>
      </c>
      <c r="H76" s="321">
        <f>H77</f>
        <v>37</v>
      </c>
      <c r="I76" s="211"/>
    </row>
    <row r="77" spans="1:9" ht="31.5" x14ac:dyDescent="0.25">
      <c r="A77" s="320" t="s">
        <v>144</v>
      </c>
      <c r="B77" s="314">
        <v>902</v>
      </c>
      <c r="C77" s="316" t="s">
        <v>133</v>
      </c>
      <c r="D77" s="316" t="s">
        <v>165</v>
      </c>
      <c r="E77" s="324" t="s">
        <v>886</v>
      </c>
      <c r="F77" s="316" t="s">
        <v>145</v>
      </c>
      <c r="G77" s="321">
        <f>37</f>
        <v>37</v>
      </c>
      <c r="H77" s="321">
        <f t="shared" si="1"/>
        <v>37</v>
      </c>
      <c r="I77" s="211"/>
    </row>
    <row r="78" spans="1:9" ht="31.5" x14ac:dyDescent="0.25">
      <c r="A78" s="320" t="s">
        <v>146</v>
      </c>
      <c r="B78" s="314">
        <v>902</v>
      </c>
      <c r="C78" s="316" t="s">
        <v>133</v>
      </c>
      <c r="D78" s="316" t="s">
        <v>165</v>
      </c>
      <c r="E78" s="324" t="s">
        <v>886</v>
      </c>
      <c r="F78" s="316" t="s">
        <v>147</v>
      </c>
      <c r="G78" s="321">
        <f>G79</f>
        <v>40</v>
      </c>
      <c r="H78" s="321">
        <f>H79</f>
        <v>40</v>
      </c>
      <c r="I78" s="211"/>
    </row>
    <row r="79" spans="1:9" ht="31.5" x14ac:dyDescent="0.25">
      <c r="A79" s="320" t="s">
        <v>148</v>
      </c>
      <c r="B79" s="314">
        <v>902</v>
      </c>
      <c r="C79" s="316" t="s">
        <v>133</v>
      </c>
      <c r="D79" s="316" t="s">
        <v>165</v>
      </c>
      <c r="E79" s="324" t="s">
        <v>886</v>
      </c>
      <c r="F79" s="316" t="s">
        <v>149</v>
      </c>
      <c r="G79" s="321">
        <f>40</f>
        <v>40</v>
      </c>
      <c r="H79" s="321">
        <f t="shared" ref="H79:H147" si="4">G79</f>
        <v>40</v>
      </c>
      <c r="I79" s="211"/>
    </row>
    <row r="80" spans="1:9" ht="63" x14ac:dyDescent="0.25">
      <c r="A80" s="227" t="s">
        <v>1154</v>
      </c>
      <c r="B80" s="315">
        <v>902</v>
      </c>
      <c r="C80" s="319" t="s">
        <v>133</v>
      </c>
      <c r="D80" s="319" t="s">
        <v>165</v>
      </c>
      <c r="E80" s="312" t="s">
        <v>895</v>
      </c>
      <c r="F80" s="319"/>
      <c r="G80" s="317">
        <f>G81+G84</f>
        <v>0.5</v>
      </c>
      <c r="H80" s="317">
        <f>H81+H84</f>
        <v>0.5</v>
      </c>
      <c r="I80" s="211"/>
    </row>
    <row r="81" spans="1:9" ht="47.25" x14ac:dyDescent="0.25">
      <c r="A81" s="33" t="s">
        <v>206</v>
      </c>
      <c r="B81" s="314">
        <v>902</v>
      </c>
      <c r="C81" s="316" t="s">
        <v>133</v>
      </c>
      <c r="D81" s="316" t="s">
        <v>165</v>
      </c>
      <c r="E81" s="324" t="s">
        <v>888</v>
      </c>
      <c r="F81" s="316"/>
      <c r="G81" s="321">
        <f>G82</f>
        <v>0.5</v>
      </c>
      <c r="H81" s="321">
        <f>H82</f>
        <v>0.5</v>
      </c>
      <c r="I81" s="211"/>
    </row>
    <row r="82" spans="1:9" ht="31.5" x14ac:dyDescent="0.25">
      <c r="A82" s="320" t="s">
        <v>146</v>
      </c>
      <c r="B82" s="314">
        <v>902</v>
      </c>
      <c r="C82" s="316" t="s">
        <v>133</v>
      </c>
      <c r="D82" s="316" t="s">
        <v>165</v>
      </c>
      <c r="E82" s="324" t="s">
        <v>888</v>
      </c>
      <c r="F82" s="316" t="s">
        <v>147</v>
      </c>
      <c r="G82" s="321">
        <f>G83</f>
        <v>0.5</v>
      </c>
      <c r="H82" s="321">
        <f>H83</f>
        <v>0.5</v>
      </c>
      <c r="I82" s="211"/>
    </row>
    <row r="83" spans="1:9" ht="31.5" x14ac:dyDescent="0.25">
      <c r="A83" s="320" t="s">
        <v>148</v>
      </c>
      <c r="B83" s="314">
        <v>902</v>
      </c>
      <c r="C83" s="316" t="s">
        <v>133</v>
      </c>
      <c r="D83" s="316" t="s">
        <v>165</v>
      </c>
      <c r="E83" s="324" t="s">
        <v>888</v>
      </c>
      <c r="F83" s="316" t="s">
        <v>149</v>
      </c>
      <c r="G83" s="321">
        <f>0.5</f>
        <v>0.5</v>
      </c>
      <c r="H83" s="321">
        <f t="shared" si="4"/>
        <v>0.5</v>
      </c>
      <c r="I83" s="211"/>
    </row>
    <row r="84" spans="1:9" ht="47.25" hidden="1" x14ac:dyDescent="0.25">
      <c r="A84" s="33" t="s">
        <v>206</v>
      </c>
      <c r="B84" s="314">
        <v>902</v>
      </c>
      <c r="C84" s="316" t="s">
        <v>133</v>
      </c>
      <c r="D84" s="316" t="s">
        <v>165</v>
      </c>
      <c r="E84" s="316" t="s">
        <v>889</v>
      </c>
      <c r="F84" s="316"/>
      <c r="G84" s="321">
        <f>'Пр.4 ведом.20'!G95</f>
        <v>0</v>
      </c>
      <c r="H84" s="321">
        <f t="shared" si="4"/>
        <v>0</v>
      </c>
      <c r="I84" s="211"/>
    </row>
    <row r="85" spans="1:9" ht="31.5" hidden="1" x14ac:dyDescent="0.25">
      <c r="A85" s="320" t="s">
        <v>146</v>
      </c>
      <c r="B85" s="314">
        <v>902</v>
      </c>
      <c r="C85" s="316" t="s">
        <v>133</v>
      </c>
      <c r="D85" s="316" t="s">
        <v>165</v>
      </c>
      <c r="E85" s="316" t="s">
        <v>889</v>
      </c>
      <c r="F85" s="316" t="s">
        <v>147</v>
      </c>
      <c r="G85" s="321">
        <f>'Пр.4 ведом.20'!G96</f>
        <v>0</v>
      </c>
      <c r="H85" s="321">
        <f t="shared" si="4"/>
        <v>0</v>
      </c>
      <c r="I85" s="211"/>
    </row>
    <row r="86" spans="1:9" ht="31.5" hidden="1" x14ac:dyDescent="0.25">
      <c r="A86" s="320" t="s">
        <v>148</v>
      </c>
      <c r="B86" s="314">
        <v>902</v>
      </c>
      <c r="C86" s="316" t="s">
        <v>133</v>
      </c>
      <c r="D86" s="316" t="s">
        <v>165</v>
      </c>
      <c r="E86" s="316" t="s">
        <v>889</v>
      </c>
      <c r="F86" s="316" t="s">
        <v>149</v>
      </c>
      <c r="G86" s="321">
        <f>'Пр.4 ведом.20'!G97</f>
        <v>0</v>
      </c>
      <c r="H86" s="321">
        <f t="shared" si="4"/>
        <v>0</v>
      </c>
      <c r="I86" s="211"/>
    </row>
    <row r="87" spans="1:9" ht="47.25" x14ac:dyDescent="0.25">
      <c r="A87" s="318" t="s">
        <v>134</v>
      </c>
      <c r="B87" s="315">
        <v>902</v>
      </c>
      <c r="C87" s="319" t="s">
        <v>133</v>
      </c>
      <c r="D87" s="319" t="s">
        <v>135</v>
      </c>
      <c r="E87" s="319"/>
      <c r="F87" s="316"/>
      <c r="G87" s="317">
        <f>G88</f>
        <v>940</v>
      </c>
      <c r="H87" s="317">
        <f>H88</f>
        <v>940</v>
      </c>
      <c r="I87" s="211"/>
    </row>
    <row r="88" spans="1:9" ht="31.5" x14ac:dyDescent="0.25">
      <c r="A88" s="318" t="s">
        <v>988</v>
      </c>
      <c r="B88" s="315">
        <v>902</v>
      </c>
      <c r="C88" s="319" t="s">
        <v>133</v>
      </c>
      <c r="D88" s="319" t="s">
        <v>135</v>
      </c>
      <c r="E88" s="319" t="s">
        <v>902</v>
      </c>
      <c r="F88" s="319"/>
      <c r="G88" s="317">
        <f>G89</f>
        <v>940</v>
      </c>
      <c r="H88" s="317">
        <f>H89</f>
        <v>940</v>
      </c>
      <c r="I88" s="211"/>
    </row>
    <row r="89" spans="1:9" ht="15.75" x14ac:dyDescent="0.25">
      <c r="A89" s="318" t="s">
        <v>989</v>
      </c>
      <c r="B89" s="315">
        <v>902</v>
      </c>
      <c r="C89" s="319" t="s">
        <v>133</v>
      </c>
      <c r="D89" s="319" t="s">
        <v>135</v>
      </c>
      <c r="E89" s="319" t="s">
        <v>903</v>
      </c>
      <c r="F89" s="319"/>
      <c r="G89" s="317">
        <f>G90+G93</f>
        <v>940</v>
      </c>
      <c r="H89" s="317">
        <f>H90+H93</f>
        <v>940</v>
      </c>
      <c r="I89" s="211"/>
    </row>
    <row r="90" spans="1:9" ht="31.5" x14ac:dyDescent="0.25">
      <c r="A90" s="320" t="s">
        <v>965</v>
      </c>
      <c r="B90" s="314">
        <v>902</v>
      </c>
      <c r="C90" s="316" t="s">
        <v>133</v>
      </c>
      <c r="D90" s="316" t="s">
        <v>135</v>
      </c>
      <c r="E90" s="316" t="s">
        <v>904</v>
      </c>
      <c r="F90" s="316"/>
      <c r="G90" s="321">
        <f>G91</f>
        <v>899</v>
      </c>
      <c r="H90" s="321">
        <f>H91</f>
        <v>899</v>
      </c>
      <c r="I90" s="211"/>
    </row>
    <row r="91" spans="1:9" ht="78.75" x14ac:dyDescent="0.25">
      <c r="A91" s="320" t="s">
        <v>142</v>
      </c>
      <c r="B91" s="314">
        <v>902</v>
      </c>
      <c r="C91" s="316" t="s">
        <v>133</v>
      </c>
      <c r="D91" s="316" t="s">
        <v>135</v>
      </c>
      <c r="E91" s="316" t="s">
        <v>904</v>
      </c>
      <c r="F91" s="316" t="s">
        <v>143</v>
      </c>
      <c r="G91" s="321">
        <f>G92</f>
        <v>899</v>
      </c>
      <c r="H91" s="321">
        <f>H92</f>
        <v>899</v>
      </c>
      <c r="I91" s="211"/>
    </row>
    <row r="92" spans="1:9" ht="31.5" x14ac:dyDescent="0.25">
      <c r="A92" s="320" t="s">
        <v>144</v>
      </c>
      <c r="B92" s="314">
        <v>902</v>
      </c>
      <c r="C92" s="316" t="s">
        <v>133</v>
      </c>
      <c r="D92" s="316" t="s">
        <v>135</v>
      </c>
      <c r="E92" s="316" t="s">
        <v>904</v>
      </c>
      <c r="F92" s="316" t="s">
        <v>145</v>
      </c>
      <c r="G92" s="321">
        <f>899</f>
        <v>899</v>
      </c>
      <c r="H92" s="321">
        <f t="shared" si="4"/>
        <v>899</v>
      </c>
      <c r="I92" s="211"/>
    </row>
    <row r="93" spans="1:9" ht="47.25" x14ac:dyDescent="0.25">
      <c r="A93" s="320" t="s">
        <v>883</v>
      </c>
      <c r="B93" s="314">
        <v>902</v>
      </c>
      <c r="C93" s="316" t="s">
        <v>133</v>
      </c>
      <c r="D93" s="316" t="s">
        <v>135</v>
      </c>
      <c r="E93" s="316" t="s">
        <v>906</v>
      </c>
      <c r="F93" s="316"/>
      <c r="G93" s="321">
        <f>G94</f>
        <v>41</v>
      </c>
      <c r="H93" s="321">
        <f>H94</f>
        <v>41</v>
      </c>
      <c r="I93" s="211"/>
    </row>
    <row r="94" spans="1:9" ht="78.75" x14ac:dyDescent="0.25">
      <c r="A94" s="320" t="s">
        <v>142</v>
      </c>
      <c r="B94" s="314">
        <v>902</v>
      </c>
      <c r="C94" s="316" t="s">
        <v>133</v>
      </c>
      <c r="D94" s="316" t="s">
        <v>135</v>
      </c>
      <c r="E94" s="316" t="s">
        <v>906</v>
      </c>
      <c r="F94" s="316" t="s">
        <v>143</v>
      </c>
      <c r="G94" s="321">
        <f>G95</f>
        <v>41</v>
      </c>
      <c r="H94" s="321">
        <f>H95</f>
        <v>41</v>
      </c>
      <c r="I94" s="211"/>
    </row>
    <row r="95" spans="1:9" ht="31.5" x14ac:dyDescent="0.25">
      <c r="A95" s="320" t="s">
        <v>144</v>
      </c>
      <c r="B95" s="314">
        <v>902</v>
      </c>
      <c r="C95" s="316" t="s">
        <v>133</v>
      </c>
      <c r="D95" s="316" t="s">
        <v>135</v>
      </c>
      <c r="E95" s="316" t="s">
        <v>906</v>
      </c>
      <c r="F95" s="316" t="s">
        <v>145</v>
      </c>
      <c r="G95" s="321">
        <f>41</f>
        <v>41</v>
      </c>
      <c r="H95" s="321">
        <f t="shared" si="4"/>
        <v>41</v>
      </c>
      <c r="I95" s="211"/>
    </row>
    <row r="96" spans="1:9" s="210" customFormat="1" ht="15.75" hidden="1" x14ac:dyDescent="0.25">
      <c r="A96" s="318" t="s">
        <v>1361</v>
      </c>
      <c r="B96" s="315">
        <v>902</v>
      </c>
      <c r="C96" s="319" t="s">
        <v>133</v>
      </c>
      <c r="D96" s="319" t="s">
        <v>279</v>
      </c>
      <c r="E96" s="319"/>
      <c r="F96" s="316"/>
      <c r="G96" s="317">
        <f t="shared" ref="G96:H98" si="5">G97</f>
        <v>0</v>
      </c>
      <c r="H96" s="317">
        <f t="shared" si="5"/>
        <v>0</v>
      </c>
      <c r="I96" s="211"/>
    </row>
    <row r="97" spans="1:9" s="210" customFormat="1" ht="15.75" hidden="1" x14ac:dyDescent="0.25">
      <c r="A97" s="318" t="s">
        <v>156</v>
      </c>
      <c r="B97" s="315">
        <v>902</v>
      </c>
      <c r="C97" s="319" t="s">
        <v>133</v>
      </c>
      <c r="D97" s="319" t="s">
        <v>279</v>
      </c>
      <c r="E97" s="319" t="s">
        <v>910</v>
      </c>
      <c r="F97" s="316"/>
      <c r="G97" s="317">
        <f t="shared" si="5"/>
        <v>0</v>
      </c>
      <c r="H97" s="317">
        <f t="shared" si="5"/>
        <v>0</v>
      </c>
      <c r="I97" s="211"/>
    </row>
    <row r="98" spans="1:9" s="210" customFormat="1" ht="31.5" hidden="1" x14ac:dyDescent="0.25">
      <c r="A98" s="318" t="s">
        <v>914</v>
      </c>
      <c r="B98" s="315">
        <v>902</v>
      </c>
      <c r="C98" s="319" t="s">
        <v>133</v>
      </c>
      <c r="D98" s="319" t="s">
        <v>279</v>
      </c>
      <c r="E98" s="319" t="s">
        <v>909</v>
      </c>
      <c r="F98" s="316"/>
      <c r="G98" s="317">
        <f t="shared" si="5"/>
        <v>0</v>
      </c>
      <c r="H98" s="317">
        <f t="shared" si="5"/>
        <v>0</v>
      </c>
      <c r="I98" s="211"/>
    </row>
    <row r="99" spans="1:9" s="210" customFormat="1" ht="15.75" hidden="1" x14ac:dyDescent="0.25">
      <c r="A99" s="45" t="s">
        <v>214</v>
      </c>
      <c r="B99" s="314">
        <v>902</v>
      </c>
      <c r="C99" s="316" t="s">
        <v>133</v>
      </c>
      <c r="D99" s="316" t="s">
        <v>279</v>
      </c>
      <c r="E99" s="316" t="s">
        <v>1360</v>
      </c>
      <c r="F99" s="316"/>
      <c r="G99" s="321">
        <f>G100+G102</f>
        <v>0</v>
      </c>
      <c r="H99" s="321">
        <f>H100+H102</f>
        <v>0</v>
      </c>
      <c r="I99" s="211"/>
    </row>
    <row r="100" spans="1:9" s="210" customFormat="1" ht="78.75" hidden="1" x14ac:dyDescent="0.25">
      <c r="A100" s="320" t="s">
        <v>142</v>
      </c>
      <c r="B100" s="314">
        <v>902</v>
      </c>
      <c r="C100" s="316" t="s">
        <v>133</v>
      </c>
      <c r="D100" s="316" t="s">
        <v>279</v>
      </c>
      <c r="E100" s="316" t="s">
        <v>1360</v>
      </c>
      <c r="F100" s="316" t="s">
        <v>143</v>
      </c>
      <c r="G100" s="321">
        <f>G101</f>
        <v>0</v>
      </c>
      <c r="H100" s="321">
        <f>H101</f>
        <v>0</v>
      </c>
      <c r="I100" s="211"/>
    </row>
    <row r="101" spans="1:9" s="210" customFormat="1" ht="31.5" hidden="1" x14ac:dyDescent="0.25">
      <c r="A101" s="320" t="s">
        <v>144</v>
      </c>
      <c r="B101" s="314">
        <v>902</v>
      </c>
      <c r="C101" s="316" t="s">
        <v>133</v>
      </c>
      <c r="D101" s="316" t="s">
        <v>279</v>
      </c>
      <c r="E101" s="316" t="s">
        <v>1360</v>
      </c>
      <c r="F101" s="316" t="s">
        <v>145</v>
      </c>
      <c r="G101" s="321">
        <v>0</v>
      </c>
      <c r="H101" s="321">
        <v>0</v>
      </c>
      <c r="I101" s="211"/>
    </row>
    <row r="102" spans="1:9" s="210" customFormat="1" ht="31.5" hidden="1" x14ac:dyDescent="0.25">
      <c r="A102" s="320" t="s">
        <v>213</v>
      </c>
      <c r="B102" s="314">
        <v>902</v>
      </c>
      <c r="C102" s="316" t="s">
        <v>133</v>
      </c>
      <c r="D102" s="316" t="s">
        <v>279</v>
      </c>
      <c r="E102" s="316" t="s">
        <v>1360</v>
      </c>
      <c r="F102" s="316" t="s">
        <v>147</v>
      </c>
      <c r="G102" s="321">
        <f>G103</f>
        <v>0</v>
      </c>
      <c r="H102" s="321">
        <f>H103</f>
        <v>0</v>
      </c>
      <c r="I102" s="211"/>
    </row>
    <row r="103" spans="1:9" s="210" customFormat="1" ht="31.5" hidden="1" x14ac:dyDescent="0.25">
      <c r="A103" s="320" t="s">
        <v>148</v>
      </c>
      <c r="B103" s="314">
        <v>902</v>
      </c>
      <c r="C103" s="316" t="s">
        <v>133</v>
      </c>
      <c r="D103" s="316" t="s">
        <v>279</v>
      </c>
      <c r="E103" s="316" t="s">
        <v>1360</v>
      </c>
      <c r="F103" s="316" t="s">
        <v>149</v>
      </c>
      <c r="G103" s="321">
        <v>0</v>
      </c>
      <c r="H103" s="321">
        <v>0</v>
      </c>
      <c r="I103" s="211"/>
    </row>
    <row r="104" spans="1:9" ht="15.75" x14ac:dyDescent="0.25">
      <c r="A104" s="318" t="s">
        <v>154</v>
      </c>
      <c r="B104" s="315">
        <v>902</v>
      </c>
      <c r="C104" s="319" t="s">
        <v>133</v>
      </c>
      <c r="D104" s="319" t="s">
        <v>155</v>
      </c>
      <c r="E104" s="319"/>
      <c r="F104" s="319"/>
      <c r="G104" s="317">
        <f>G115+G124+G105+G129</f>
        <v>6860</v>
      </c>
      <c r="H104" s="317">
        <f>H115+H124+H105+H129</f>
        <v>6860</v>
      </c>
      <c r="I104" s="211"/>
    </row>
    <row r="105" spans="1:9" ht="15.75" x14ac:dyDescent="0.25">
      <c r="A105" s="318" t="s">
        <v>156</v>
      </c>
      <c r="B105" s="315">
        <v>902</v>
      </c>
      <c r="C105" s="319" t="s">
        <v>133</v>
      </c>
      <c r="D105" s="319" t="s">
        <v>155</v>
      </c>
      <c r="E105" s="319" t="s">
        <v>910</v>
      </c>
      <c r="F105" s="319"/>
      <c r="G105" s="317">
        <f>G106</f>
        <v>6680</v>
      </c>
      <c r="H105" s="317">
        <f>H106</f>
        <v>6680</v>
      </c>
      <c r="I105" s="211"/>
    </row>
    <row r="106" spans="1:9" ht="31.5" x14ac:dyDescent="0.25">
      <c r="A106" s="318" t="s">
        <v>993</v>
      </c>
      <c r="B106" s="315">
        <v>902</v>
      </c>
      <c r="C106" s="319" t="s">
        <v>133</v>
      </c>
      <c r="D106" s="319" t="s">
        <v>155</v>
      </c>
      <c r="E106" s="319" t="s">
        <v>911</v>
      </c>
      <c r="F106" s="319"/>
      <c r="G106" s="317">
        <f>G107+G112</f>
        <v>6680</v>
      </c>
      <c r="H106" s="317">
        <f>H107+H112</f>
        <v>6680</v>
      </c>
      <c r="I106" s="211"/>
    </row>
    <row r="107" spans="1:9" ht="31.5" x14ac:dyDescent="0.25">
      <c r="A107" s="320" t="s">
        <v>999</v>
      </c>
      <c r="B107" s="314">
        <v>902</v>
      </c>
      <c r="C107" s="316" t="s">
        <v>133</v>
      </c>
      <c r="D107" s="316" t="s">
        <v>155</v>
      </c>
      <c r="E107" s="316" t="s">
        <v>912</v>
      </c>
      <c r="F107" s="316"/>
      <c r="G107" s="321">
        <f>G108+G110</f>
        <v>6554</v>
      </c>
      <c r="H107" s="321">
        <f>H108+H110</f>
        <v>6554</v>
      </c>
      <c r="I107" s="211"/>
    </row>
    <row r="108" spans="1:9" ht="78.75" x14ac:dyDescent="0.25">
      <c r="A108" s="320" t="s">
        <v>142</v>
      </c>
      <c r="B108" s="314">
        <v>902</v>
      </c>
      <c r="C108" s="316" t="s">
        <v>133</v>
      </c>
      <c r="D108" s="316" t="s">
        <v>155</v>
      </c>
      <c r="E108" s="316" t="s">
        <v>912</v>
      </c>
      <c r="F108" s="316" t="s">
        <v>143</v>
      </c>
      <c r="G108" s="321">
        <f>G109</f>
        <v>5343</v>
      </c>
      <c r="H108" s="321">
        <f>H109</f>
        <v>5343</v>
      </c>
      <c r="I108" s="211"/>
    </row>
    <row r="109" spans="1:9" ht="15.75" x14ac:dyDescent="0.25">
      <c r="A109" s="320" t="s">
        <v>223</v>
      </c>
      <c r="B109" s="314">
        <v>902</v>
      </c>
      <c r="C109" s="316" t="s">
        <v>133</v>
      </c>
      <c r="D109" s="316" t="s">
        <v>155</v>
      </c>
      <c r="E109" s="316" t="s">
        <v>912</v>
      </c>
      <c r="F109" s="316" t="s">
        <v>224</v>
      </c>
      <c r="G109" s="321">
        <f>5343</f>
        <v>5343</v>
      </c>
      <c r="H109" s="321">
        <f t="shared" si="4"/>
        <v>5343</v>
      </c>
      <c r="I109" s="211"/>
    </row>
    <row r="110" spans="1:9" ht="31.5" x14ac:dyDescent="0.25">
      <c r="A110" s="320" t="s">
        <v>213</v>
      </c>
      <c r="B110" s="314">
        <v>902</v>
      </c>
      <c r="C110" s="316" t="s">
        <v>133</v>
      </c>
      <c r="D110" s="316" t="s">
        <v>155</v>
      </c>
      <c r="E110" s="316" t="s">
        <v>912</v>
      </c>
      <c r="F110" s="316" t="s">
        <v>147</v>
      </c>
      <c r="G110" s="321">
        <f>G111</f>
        <v>1211</v>
      </c>
      <c r="H110" s="321">
        <f>H111</f>
        <v>1211</v>
      </c>
      <c r="I110" s="211"/>
    </row>
    <row r="111" spans="1:9" ht="31.5" x14ac:dyDescent="0.25">
      <c r="A111" s="320" t="s">
        <v>148</v>
      </c>
      <c r="B111" s="314">
        <v>902</v>
      </c>
      <c r="C111" s="316" t="s">
        <v>133</v>
      </c>
      <c r="D111" s="316" t="s">
        <v>155</v>
      </c>
      <c r="E111" s="316" t="s">
        <v>912</v>
      </c>
      <c r="F111" s="316" t="s">
        <v>149</v>
      </c>
      <c r="G111" s="321">
        <f>1211</f>
        <v>1211</v>
      </c>
      <c r="H111" s="321">
        <f t="shared" si="4"/>
        <v>1211</v>
      </c>
      <c r="I111" s="211"/>
    </row>
    <row r="112" spans="1:9" ht="47.25" x14ac:dyDescent="0.25">
      <c r="A112" s="320" t="s">
        <v>883</v>
      </c>
      <c r="B112" s="314">
        <v>902</v>
      </c>
      <c r="C112" s="316" t="s">
        <v>133</v>
      </c>
      <c r="D112" s="316" t="s">
        <v>155</v>
      </c>
      <c r="E112" s="316" t="s">
        <v>913</v>
      </c>
      <c r="F112" s="316"/>
      <c r="G112" s="321">
        <f>G113</f>
        <v>126</v>
      </c>
      <c r="H112" s="321">
        <f>H113</f>
        <v>126</v>
      </c>
      <c r="I112" s="211"/>
    </row>
    <row r="113" spans="1:9" ht="78.75" x14ac:dyDescent="0.25">
      <c r="A113" s="320" t="s">
        <v>142</v>
      </c>
      <c r="B113" s="314">
        <v>902</v>
      </c>
      <c r="C113" s="316" t="s">
        <v>133</v>
      </c>
      <c r="D113" s="316" t="s">
        <v>155</v>
      </c>
      <c r="E113" s="316" t="s">
        <v>913</v>
      </c>
      <c r="F113" s="316" t="s">
        <v>143</v>
      </c>
      <c r="G113" s="321">
        <f>G114</f>
        <v>126</v>
      </c>
      <c r="H113" s="321">
        <f>H114</f>
        <v>126</v>
      </c>
      <c r="I113" s="211"/>
    </row>
    <row r="114" spans="1:9" ht="15.75" x14ac:dyDescent="0.25">
      <c r="A114" s="320" t="s">
        <v>223</v>
      </c>
      <c r="B114" s="314">
        <v>902</v>
      </c>
      <c r="C114" s="316" t="s">
        <v>133</v>
      </c>
      <c r="D114" s="316" t="s">
        <v>155</v>
      </c>
      <c r="E114" s="316" t="s">
        <v>913</v>
      </c>
      <c r="F114" s="316" t="s">
        <v>224</v>
      </c>
      <c r="G114" s="321">
        <f>126</f>
        <v>126</v>
      </c>
      <c r="H114" s="321">
        <f t="shared" si="4"/>
        <v>126</v>
      </c>
      <c r="I114" s="211"/>
    </row>
    <row r="115" spans="1:9" ht="63" x14ac:dyDescent="0.25">
      <c r="A115" s="41" t="s">
        <v>1413</v>
      </c>
      <c r="B115" s="315">
        <v>902</v>
      </c>
      <c r="C115" s="319" t="s">
        <v>133</v>
      </c>
      <c r="D115" s="319" t="s">
        <v>155</v>
      </c>
      <c r="E115" s="319" t="s">
        <v>726</v>
      </c>
      <c r="F115" s="228"/>
      <c r="G115" s="317">
        <f>G116+G120</f>
        <v>40</v>
      </c>
      <c r="H115" s="317">
        <f>H116+H120</f>
        <v>40</v>
      </c>
      <c r="I115" s="211"/>
    </row>
    <row r="116" spans="1:9" ht="47.25" x14ac:dyDescent="0.25">
      <c r="A116" s="216" t="s">
        <v>890</v>
      </c>
      <c r="B116" s="315">
        <v>902</v>
      </c>
      <c r="C116" s="319" t="s">
        <v>133</v>
      </c>
      <c r="D116" s="319" t="s">
        <v>155</v>
      </c>
      <c r="E116" s="319" t="s">
        <v>896</v>
      </c>
      <c r="F116" s="228"/>
      <c r="G116" s="317">
        <f t="shared" ref="G116:H118" si="6">G117</f>
        <v>25</v>
      </c>
      <c r="H116" s="317">
        <f t="shared" si="6"/>
        <v>25</v>
      </c>
      <c r="I116" s="211"/>
    </row>
    <row r="117" spans="1:9" ht="31.5" x14ac:dyDescent="0.25">
      <c r="A117" s="99" t="s">
        <v>797</v>
      </c>
      <c r="B117" s="314">
        <v>902</v>
      </c>
      <c r="C117" s="316" t="s">
        <v>133</v>
      </c>
      <c r="D117" s="316" t="s">
        <v>155</v>
      </c>
      <c r="E117" s="316" t="s">
        <v>891</v>
      </c>
      <c r="F117" s="32"/>
      <c r="G117" s="321">
        <f t="shared" si="6"/>
        <v>25</v>
      </c>
      <c r="H117" s="321">
        <f t="shared" si="6"/>
        <v>25</v>
      </c>
      <c r="I117" s="211"/>
    </row>
    <row r="118" spans="1:9" ht="31.5" x14ac:dyDescent="0.25">
      <c r="A118" s="320" t="s">
        <v>146</v>
      </c>
      <c r="B118" s="314">
        <v>902</v>
      </c>
      <c r="C118" s="316" t="s">
        <v>133</v>
      </c>
      <c r="D118" s="316" t="s">
        <v>155</v>
      </c>
      <c r="E118" s="316" t="s">
        <v>891</v>
      </c>
      <c r="F118" s="32" t="s">
        <v>147</v>
      </c>
      <c r="G118" s="321">
        <f t="shared" si="6"/>
        <v>25</v>
      </c>
      <c r="H118" s="321">
        <f t="shared" si="6"/>
        <v>25</v>
      </c>
      <c r="I118" s="211"/>
    </row>
    <row r="119" spans="1:9" ht="31.5" x14ac:dyDescent="0.25">
      <c r="A119" s="320" t="s">
        <v>148</v>
      </c>
      <c r="B119" s="314">
        <v>902</v>
      </c>
      <c r="C119" s="316" t="s">
        <v>133</v>
      </c>
      <c r="D119" s="316" t="s">
        <v>155</v>
      </c>
      <c r="E119" s="316" t="s">
        <v>891</v>
      </c>
      <c r="F119" s="32" t="s">
        <v>149</v>
      </c>
      <c r="G119" s="321">
        <v>25</v>
      </c>
      <c r="H119" s="321">
        <v>25</v>
      </c>
      <c r="I119" s="211"/>
    </row>
    <row r="120" spans="1:9" ht="31.5" x14ac:dyDescent="0.25">
      <c r="A120" s="217" t="s">
        <v>1186</v>
      </c>
      <c r="B120" s="315">
        <v>902</v>
      </c>
      <c r="C120" s="319" t="s">
        <v>133</v>
      </c>
      <c r="D120" s="319" t="s">
        <v>155</v>
      </c>
      <c r="E120" s="319" t="s">
        <v>897</v>
      </c>
      <c r="F120" s="228"/>
      <c r="G120" s="317">
        <f t="shared" ref="G120:H122" si="7">G121</f>
        <v>15</v>
      </c>
      <c r="H120" s="317">
        <f t="shared" si="7"/>
        <v>15</v>
      </c>
      <c r="I120" s="211"/>
    </row>
    <row r="121" spans="1:9" ht="31.5" x14ac:dyDescent="0.25">
      <c r="A121" s="99" t="s">
        <v>798</v>
      </c>
      <c r="B121" s="314">
        <v>902</v>
      </c>
      <c r="C121" s="316" t="s">
        <v>133</v>
      </c>
      <c r="D121" s="316" t="s">
        <v>155</v>
      </c>
      <c r="E121" s="316" t="s">
        <v>892</v>
      </c>
      <c r="F121" s="32"/>
      <c r="G121" s="321">
        <f t="shared" si="7"/>
        <v>15</v>
      </c>
      <c r="H121" s="321">
        <f t="shared" si="7"/>
        <v>15</v>
      </c>
      <c r="I121" s="211"/>
    </row>
    <row r="122" spans="1:9" ht="31.5" x14ac:dyDescent="0.25">
      <c r="A122" s="320" t="s">
        <v>146</v>
      </c>
      <c r="B122" s="314">
        <v>902</v>
      </c>
      <c r="C122" s="316" t="s">
        <v>133</v>
      </c>
      <c r="D122" s="316" t="s">
        <v>155</v>
      </c>
      <c r="E122" s="316" t="s">
        <v>892</v>
      </c>
      <c r="F122" s="32" t="s">
        <v>147</v>
      </c>
      <c r="G122" s="321">
        <f t="shared" si="7"/>
        <v>15</v>
      </c>
      <c r="H122" s="321">
        <f t="shared" si="7"/>
        <v>15</v>
      </c>
      <c r="I122" s="211"/>
    </row>
    <row r="123" spans="1:9" ht="31.5" x14ac:dyDescent="0.25">
      <c r="A123" s="320" t="s">
        <v>148</v>
      </c>
      <c r="B123" s="314">
        <v>902</v>
      </c>
      <c r="C123" s="316" t="s">
        <v>133</v>
      </c>
      <c r="D123" s="316" t="s">
        <v>155</v>
      </c>
      <c r="E123" s="316" t="s">
        <v>892</v>
      </c>
      <c r="F123" s="32" t="s">
        <v>149</v>
      </c>
      <c r="G123" s="321">
        <f>15</f>
        <v>15</v>
      </c>
      <c r="H123" s="321">
        <f t="shared" si="4"/>
        <v>15</v>
      </c>
      <c r="I123" s="211"/>
    </row>
    <row r="124" spans="1:9" ht="78.75" x14ac:dyDescent="0.25">
      <c r="A124" s="41" t="s">
        <v>1412</v>
      </c>
      <c r="B124" s="315">
        <v>902</v>
      </c>
      <c r="C124" s="8" t="s">
        <v>133</v>
      </c>
      <c r="D124" s="8" t="s">
        <v>155</v>
      </c>
      <c r="E124" s="330" t="s">
        <v>859</v>
      </c>
      <c r="F124" s="8"/>
      <c r="G124" s="317">
        <f t="shared" ref="G124:H127" si="8">G125</f>
        <v>40</v>
      </c>
      <c r="H124" s="317">
        <f t="shared" si="8"/>
        <v>40</v>
      </c>
      <c r="I124" s="211"/>
    </row>
    <row r="125" spans="1:9" ht="47.25" x14ac:dyDescent="0.25">
      <c r="A125" s="218" t="s">
        <v>898</v>
      </c>
      <c r="B125" s="315">
        <v>902</v>
      </c>
      <c r="C125" s="8" t="s">
        <v>133</v>
      </c>
      <c r="D125" s="8" t="s">
        <v>155</v>
      </c>
      <c r="E125" s="206" t="s">
        <v>1260</v>
      </c>
      <c r="F125" s="8"/>
      <c r="G125" s="317">
        <f t="shared" si="8"/>
        <v>40</v>
      </c>
      <c r="H125" s="317">
        <f t="shared" si="8"/>
        <v>40</v>
      </c>
      <c r="I125" s="211"/>
    </row>
    <row r="126" spans="1:9" ht="31.5" x14ac:dyDescent="0.25">
      <c r="A126" s="98" t="s">
        <v>186</v>
      </c>
      <c r="B126" s="314">
        <v>902</v>
      </c>
      <c r="C126" s="9" t="s">
        <v>133</v>
      </c>
      <c r="D126" s="9" t="s">
        <v>155</v>
      </c>
      <c r="E126" s="311" t="s">
        <v>899</v>
      </c>
      <c r="F126" s="9"/>
      <c r="G126" s="321">
        <f t="shared" si="8"/>
        <v>40</v>
      </c>
      <c r="H126" s="321">
        <f t="shared" si="8"/>
        <v>40</v>
      </c>
      <c r="I126" s="211"/>
    </row>
    <row r="127" spans="1:9" ht="31.5" x14ac:dyDescent="0.25">
      <c r="A127" s="320" t="s">
        <v>146</v>
      </c>
      <c r="B127" s="314">
        <v>902</v>
      </c>
      <c r="C127" s="9" t="s">
        <v>133</v>
      </c>
      <c r="D127" s="9" t="s">
        <v>155</v>
      </c>
      <c r="E127" s="311" t="s">
        <v>899</v>
      </c>
      <c r="F127" s="9" t="s">
        <v>147</v>
      </c>
      <c r="G127" s="321">
        <f t="shared" si="8"/>
        <v>40</v>
      </c>
      <c r="H127" s="321">
        <f t="shared" si="8"/>
        <v>40</v>
      </c>
      <c r="I127" s="211"/>
    </row>
    <row r="128" spans="1:9" ht="31.5" x14ac:dyDescent="0.25">
      <c r="A128" s="320" t="s">
        <v>148</v>
      </c>
      <c r="B128" s="314">
        <v>902</v>
      </c>
      <c r="C128" s="9" t="s">
        <v>133</v>
      </c>
      <c r="D128" s="9" t="s">
        <v>155</v>
      </c>
      <c r="E128" s="311" t="s">
        <v>899</v>
      </c>
      <c r="F128" s="9" t="s">
        <v>149</v>
      </c>
      <c r="G128" s="321">
        <v>40</v>
      </c>
      <c r="H128" s="321">
        <v>40</v>
      </c>
      <c r="I128" s="211"/>
    </row>
    <row r="129" spans="1:9" ht="63" x14ac:dyDescent="0.25">
      <c r="A129" s="41" t="s">
        <v>1411</v>
      </c>
      <c r="B129" s="315">
        <v>902</v>
      </c>
      <c r="C129" s="8" t="s">
        <v>133</v>
      </c>
      <c r="D129" s="8" t="s">
        <v>155</v>
      </c>
      <c r="E129" s="206" t="s">
        <v>860</v>
      </c>
      <c r="F129" s="8"/>
      <c r="G129" s="317">
        <f>G131</f>
        <v>100</v>
      </c>
      <c r="H129" s="317">
        <f>H131</f>
        <v>100</v>
      </c>
      <c r="I129" s="211"/>
    </row>
    <row r="130" spans="1:9" ht="31.5" x14ac:dyDescent="0.25">
      <c r="A130" s="58" t="s">
        <v>900</v>
      </c>
      <c r="B130" s="315">
        <v>902</v>
      </c>
      <c r="C130" s="8" t="s">
        <v>133</v>
      </c>
      <c r="D130" s="8" t="s">
        <v>155</v>
      </c>
      <c r="E130" s="206" t="s">
        <v>908</v>
      </c>
      <c r="F130" s="8"/>
      <c r="G130" s="317">
        <f t="shared" ref="G130:H132" si="9">G131</f>
        <v>100</v>
      </c>
      <c r="H130" s="317">
        <f t="shared" si="9"/>
        <v>100</v>
      </c>
      <c r="I130" s="211"/>
    </row>
    <row r="131" spans="1:9" ht="15.75" x14ac:dyDescent="0.25">
      <c r="A131" s="45" t="s">
        <v>865</v>
      </c>
      <c r="B131" s="314">
        <v>902</v>
      </c>
      <c r="C131" s="9" t="s">
        <v>133</v>
      </c>
      <c r="D131" s="9" t="s">
        <v>155</v>
      </c>
      <c r="E131" s="311" t="s">
        <v>901</v>
      </c>
      <c r="F131" s="9"/>
      <c r="G131" s="321">
        <f t="shared" si="9"/>
        <v>100</v>
      </c>
      <c r="H131" s="321">
        <f t="shared" si="9"/>
        <v>100</v>
      </c>
      <c r="I131" s="211"/>
    </row>
    <row r="132" spans="1:9" ht="31.5" x14ac:dyDescent="0.25">
      <c r="A132" s="320" t="s">
        <v>146</v>
      </c>
      <c r="B132" s="314">
        <v>902</v>
      </c>
      <c r="C132" s="9" t="s">
        <v>133</v>
      </c>
      <c r="D132" s="9" t="s">
        <v>155</v>
      </c>
      <c r="E132" s="311" t="s">
        <v>901</v>
      </c>
      <c r="F132" s="9" t="s">
        <v>147</v>
      </c>
      <c r="G132" s="321">
        <f t="shared" si="9"/>
        <v>100</v>
      </c>
      <c r="H132" s="321">
        <f t="shared" si="9"/>
        <v>100</v>
      </c>
      <c r="I132" s="211"/>
    </row>
    <row r="133" spans="1:9" ht="31.5" x14ac:dyDescent="0.25">
      <c r="A133" s="320" t="s">
        <v>148</v>
      </c>
      <c r="B133" s="314">
        <v>902</v>
      </c>
      <c r="C133" s="9" t="s">
        <v>133</v>
      </c>
      <c r="D133" s="9" t="s">
        <v>155</v>
      </c>
      <c r="E133" s="311" t="s">
        <v>901</v>
      </c>
      <c r="F133" s="9" t="s">
        <v>149</v>
      </c>
      <c r="G133" s="321">
        <v>100</v>
      </c>
      <c r="H133" s="321">
        <v>100</v>
      </c>
      <c r="I133" s="211"/>
    </row>
    <row r="134" spans="1:9" ht="15.75" hidden="1" x14ac:dyDescent="0.25">
      <c r="A134" s="318" t="s">
        <v>227</v>
      </c>
      <c r="B134" s="315">
        <v>902</v>
      </c>
      <c r="C134" s="319" t="s">
        <v>228</v>
      </c>
      <c r="D134" s="319"/>
      <c r="E134" s="319"/>
      <c r="F134" s="319"/>
      <c r="G134" s="317">
        <f t="shared" ref="G134:H137" si="10">G135</f>
        <v>0</v>
      </c>
      <c r="H134" s="317">
        <f t="shared" si="10"/>
        <v>0</v>
      </c>
      <c r="I134" s="211"/>
    </row>
    <row r="135" spans="1:9" ht="15.75" hidden="1" x14ac:dyDescent="0.25">
      <c r="A135" s="318" t="s">
        <v>233</v>
      </c>
      <c r="B135" s="315">
        <v>902</v>
      </c>
      <c r="C135" s="319" t="s">
        <v>228</v>
      </c>
      <c r="D135" s="319" t="s">
        <v>234</v>
      </c>
      <c r="E135" s="319"/>
      <c r="F135" s="319"/>
      <c r="G135" s="317">
        <f t="shared" si="10"/>
        <v>0</v>
      </c>
      <c r="H135" s="317">
        <f t="shared" si="10"/>
        <v>0</v>
      </c>
      <c r="I135" s="211"/>
    </row>
    <row r="136" spans="1:9" ht="15.75" hidden="1" x14ac:dyDescent="0.25">
      <c r="A136" s="318" t="s">
        <v>156</v>
      </c>
      <c r="B136" s="315">
        <v>902</v>
      </c>
      <c r="C136" s="319" t="s">
        <v>228</v>
      </c>
      <c r="D136" s="319" t="s">
        <v>234</v>
      </c>
      <c r="E136" s="319" t="s">
        <v>910</v>
      </c>
      <c r="F136" s="319"/>
      <c r="G136" s="317">
        <f t="shared" si="10"/>
        <v>0</v>
      </c>
      <c r="H136" s="317">
        <f t="shared" si="10"/>
        <v>0</v>
      </c>
      <c r="I136" s="211"/>
    </row>
    <row r="137" spans="1:9" ht="31.5" hidden="1" x14ac:dyDescent="0.25">
      <c r="A137" s="318" t="s">
        <v>914</v>
      </c>
      <c r="B137" s="315">
        <v>902</v>
      </c>
      <c r="C137" s="319" t="s">
        <v>228</v>
      </c>
      <c r="D137" s="319" t="s">
        <v>234</v>
      </c>
      <c r="E137" s="319" t="s">
        <v>909</v>
      </c>
      <c r="F137" s="319"/>
      <c r="G137" s="317">
        <f t="shared" si="10"/>
        <v>0</v>
      </c>
      <c r="H137" s="317">
        <f t="shared" si="10"/>
        <v>0</v>
      </c>
      <c r="I137" s="211"/>
    </row>
    <row r="138" spans="1:9" ht="15.75" hidden="1" x14ac:dyDescent="0.25">
      <c r="A138" s="320" t="s">
        <v>235</v>
      </c>
      <c r="B138" s="314">
        <v>902</v>
      </c>
      <c r="C138" s="316" t="s">
        <v>228</v>
      </c>
      <c r="D138" s="316" t="s">
        <v>234</v>
      </c>
      <c r="E138" s="316" t="s">
        <v>915</v>
      </c>
      <c r="F138" s="316"/>
      <c r="G138" s="321">
        <f>'Пр.4 ведом.20'!G155</f>
        <v>0</v>
      </c>
      <c r="H138" s="321">
        <f t="shared" si="4"/>
        <v>0</v>
      </c>
      <c r="I138" s="211"/>
    </row>
    <row r="139" spans="1:9" ht="31.5" hidden="1" x14ac:dyDescent="0.25">
      <c r="A139" s="320" t="s">
        <v>213</v>
      </c>
      <c r="B139" s="314">
        <v>902</v>
      </c>
      <c r="C139" s="316" t="s">
        <v>228</v>
      </c>
      <c r="D139" s="316" t="s">
        <v>234</v>
      </c>
      <c r="E139" s="316" t="s">
        <v>915</v>
      </c>
      <c r="F139" s="316" t="s">
        <v>147</v>
      </c>
      <c r="G139" s="321">
        <f>'Пр.4 ведом.20'!G156</f>
        <v>0</v>
      </c>
      <c r="H139" s="321">
        <f t="shared" si="4"/>
        <v>0</v>
      </c>
      <c r="I139" s="211"/>
    </row>
    <row r="140" spans="1:9" ht="31.5" hidden="1" x14ac:dyDescent="0.25">
      <c r="A140" s="320" t="s">
        <v>148</v>
      </c>
      <c r="B140" s="314">
        <v>902</v>
      </c>
      <c r="C140" s="316" t="s">
        <v>228</v>
      </c>
      <c r="D140" s="316" t="s">
        <v>234</v>
      </c>
      <c r="E140" s="316" t="s">
        <v>915</v>
      </c>
      <c r="F140" s="316" t="s">
        <v>149</v>
      </c>
      <c r="G140" s="321">
        <f>'Пр.4 ведом.20'!G157</f>
        <v>0</v>
      </c>
      <c r="H140" s="321">
        <f t="shared" si="4"/>
        <v>0</v>
      </c>
      <c r="I140" s="211"/>
    </row>
    <row r="141" spans="1:9" ht="31.5" x14ac:dyDescent="0.25">
      <c r="A141" s="318" t="s">
        <v>237</v>
      </c>
      <c r="B141" s="315">
        <v>902</v>
      </c>
      <c r="C141" s="319" t="s">
        <v>230</v>
      </c>
      <c r="D141" s="319"/>
      <c r="E141" s="319"/>
      <c r="F141" s="319"/>
      <c r="G141" s="317">
        <f>G142</f>
        <v>7922</v>
      </c>
      <c r="H141" s="317">
        <f>H142</f>
        <v>7922</v>
      </c>
      <c r="I141" s="211"/>
    </row>
    <row r="142" spans="1:9" ht="47.25" x14ac:dyDescent="0.25">
      <c r="A142" s="318" t="s">
        <v>238</v>
      </c>
      <c r="B142" s="315">
        <v>902</v>
      </c>
      <c r="C142" s="319" t="s">
        <v>230</v>
      </c>
      <c r="D142" s="319" t="s">
        <v>234</v>
      </c>
      <c r="E142" s="316"/>
      <c r="F142" s="316"/>
      <c r="G142" s="317">
        <f>G143</f>
        <v>7922</v>
      </c>
      <c r="H142" s="317">
        <f>H143</f>
        <v>7922</v>
      </c>
      <c r="I142" s="211"/>
    </row>
    <row r="143" spans="1:9" ht="15.75" x14ac:dyDescent="0.25">
      <c r="A143" s="318" t="s">
        <v>156</v>
      </c>
      <c r="B143" s="315">
        <v>902</v>
      </c>
      <c r="C143" s="319" t="s">
        <v>230</v>
      </c>
      <c r="D143" s="319" t="s">
        <v>234</v>
      </c>
      <c r="E143" s="319" t="s">
        <v>910</v>
      </c>
      <c r="F143" s="319"/>
      <c r="G143" s="317">
        <f>G144+G151</f>
        <v>7922</v>
      </c>
      <c r="H143" s="317">
        <f>H144+H151</f>
        <v>7922</v>
      </c>
      <c r="I143" s="211"/>
    </row>
    <row r="144" spans="1:9" ht="31.5" x14ac:dyDescent="0.25">
      <c r="A144" s="318" t="s">
        <v>914</v>
      </c>
      <c r="B144" s="315">
        <v>902</v>
      </c>
      <c r="C144" s="319" t="s">
        <v>230</v>
      </c>
      <c r="D144" s="319" t="s">
        <v>234</v>
      </c>
      <c r="E144" s="319" t="s">
        <v>909</v>
      </c>
      <c r="F144" s="319"/>
      <c r="G144" s="317">
        <f>G145+G148</f>
        <v>1982</v>
      </c>
      <c r="H144" s="317">
        <f>H145+H148</f>
        <v>1982</v>
      </c>
      <c r="I144" s="211"/>
    </row>
    <row r="145" spans="1:13" ht="47.25" x14ac:dyDescent="0.25">
      <c r="A145" s="320" t="s">
        <v>239</v>
      </c>
      <c r="B145" s="314">
        <v>902</v>
      </c>
      <c r="C145" s="316" t="s">
        <v>230</v>
      </c>
      <c r="D145" s="316" t="s">
        <v>234</v>
      </c>
      <c r="E145" s="316" t="s">
        <v>919</v>
      </c>
      <c r="F145" s="316"/>
      <c r="G145" s="321">
        <f>G146</f>
        <v>1785</v>
      </c>
      <c r="H145" s="321">
        <f>H146</f>
        <v>1785</v>
      </c>
      <c r="I145" s="211"/>
    </row>
    <row r="146" spans="1:13" ht="31.5" x14ac:dyDescent="0.25">
      <c r="A146" s="320" t="s">
        <v>213</v>
      </c>
      <c r="B146" s="314">
        <v>902</v>
      </c>
      <c r="C146" s="316" t="s">
        <v>230</v>
      </c>
      <c r="D146" s="316" t="s">
        <v>234</v>
      </c>
      <c r="E146" s="316" t="s">
        <v>919</v>
      </c>
      <c r="F146" s="316" t="s">
        <v>147</v>
      </c>
      <c r="G146" s="321">
        <f>G147</f>
        <v>1785</v>
      </c>
      <c r="H146" s="321">
        <f>H147</f>
        <v>1785</v>
      </c>
      <c r="I146" s="211"/>
    </row>
    <row r="147" spans="1:13" ht="31.5" x14ac:dyDescent="0.25">
      <c r="A147" s="320" t="s">
        <v>148</v>
      </c>
      <c r="B147" s="314">
        <v>902</v>
      </c>
      <c r="C147" s="316" t="s">
        <v>230</v>
      </c>
      <c r="D147" s="316" t="s">
        <v>234</v>
      </c>
      <c r="E147" s="316" t="s">
        <v>919</v>
      </c>
      <c r="F147" s="316" t="s">
        <v>149</v>
      </c>
      <c r="G147" s="321">
        <f>1785</f>
        <v>1785</v>
      </c>
      <c r="H147" s="321">
        <f t="shared" si="4"/>
        <v>1785</v>
      </c>
      <c r="I147" s="211"/>
    </row>
    <row r="148" spans="1:13" ht="15.75" x14ac:dyDescent="0.25">
      <c r="A148" s="320" t="s">
        <v>245</v>
      </c>
      <c r="B148" s="314">
        <v>902</v>
      </c>
      <c r="C148" s="316" t="s">
        <v>230</v>
      </c>
      <c r="D148" s="316" t="s">
        <v>234</v>
      </c>
      <c r="E148" s="316" t="s">
        <v>920</v>
      </c>
      <c r="F148" s="316"/>
      <c r="G148" s="321">
        <f>G149</f>
        <v>197</v>
      </c>
      <c r="H148" s="321">
        <f>H149</f>
        <v>197</v>
      </c>
      <c r="I148" s="211"/>
    </row>
    <row r="149" spans="1:13" ht="31.5" x14ac:dyDescent="0.25">
      <c r="A149" s="320" t="s">
        <v>213</v>
      </c>
      <c r="B149" s="314">
        <v>902</v>
      </c>
      <c r="C149" s="316" t="s">
        <v>230</v>
      </c>
      <c r="D149" s="316" t="s">
        <v>234</v>
      </c>
      <c r="E149" s="316" t="s">
        <v>920</v>
      </c>
      <c r="F149" s="316" t="s">
        <v>147</v>
      </c>
      <c r="G149" s="321">
        <f>G150</f>
        <v>197</v>
      </c>
      <c r="H149" s="321">
        <f>H150</f>
        <v>197</v>
      </c>
      <c r="I149" s="211"/>
    </row>
    <row r="150" spans="1:13" ht="31.5" x14ac:dyDescent="0.25">
      <c r="A150" s="320" t="s">
        <v>148</v>
      </c>
      <c r="B150" s="314">
        <v>902</v>
      </c>
      <c r="C150" s="316" t="s">
        <v>230</v>
      </c>
      <c r="D150" s="316" t="s">
        <v>234</v>
      </c>
      <c r="E150" s="316" t="s">
        <v>920</v>
      </c>
      <c r="F150" s="316" t="s">
        <v>149</v>
      </c>
      <c r="G150" s="321">
        <f>197</f>
        <v>197</v>
      </c>
      <c r="H150" s="321">
        <f t="shared" ref="H150:H213" si="11">G150</f>
        <v>197</v>
      </c>
      <c r="I150" s="211"/>
    </row>
    <row r="151" spans="1:13" ht="31.5" x14ac:dyDescent="0.25">
      <c r="A151" s="318" t="s">
        <v>994</v>
      </c>
      <c r="B151" s="315">
        <v>902</v>
      </c>
      <c r="C151" s="319" t="s">
        <v>230</v>
      </c>
      <c r="D151" s="319" t="s">
        <v>234</v>
      </c>
      <c r="E151" s="319" t="s">
        <v>916</v>
      </c>
      <c r="F151" s="319"/>
      <c r="G151" s="317">
        <f>G152+G157</f>
        <v>5940</v>
      </c>
      <c r="H151" s="317">
        <f>H152+H157</f>
        <v>5940</v>
      </c>
      <c r="I151" s="211"/>
    </row>
    <row r="152" spans="1:13" ht="31.5" x14ac:dyDescent="0.25">
      <c r="A152" s="320" t="s">
        <v>998</v>
      </c>
      <c r="B152" s="314">
        <v>902</v>
      </c>
      <c r="C152" s="316" t="s">
        <v>230</v>
      </c>
      <c r="D152" s="316" t="s">
        <v>234</v>
      </c>
      <c r="E152" s="316" t="s">
        <v>917</v>
      </c>
      <c r="F152" s="316"/>
      <c r="G152" s="321">
        <f>G153+G155</f>
        <v>5688</v>
      </c>
      <c r="H152" s="321">
        <f>H153+H155</f>
        <v>5688</v>
      </c>
      <c r="I152" s="211"/>
    </row>
    <row r="153" spans="1:13" ht="78.75" x14ac:dyDescent="0.25">
      <c r="A153" s="320" t="s">
        <v>142</v>
      </c>
      <c r="B153" s="314">
        <v>902</v>
      </c>
      <c r="C153" s="316" t="s">
        <v>230</v>
      </c>
      <c r="D153" s="316" t="s">
        <v>234</v>
      </c>
      <c r="E153" s="316" t="s">
        <v>917</v>
      </c>
      <c r="F153" s="316" t="s">
        <v>143</v>
      </c>
      <c r="G153" s="321">
        <f>G154</f>
        <v>5525</v>
      </c>
      <c r="H153" s="321">
        <f t="shared" si="11"/>
        <v>5525</v>
      </c>
      <c r="I153" s="211"/>
    </row>
    <row r="154" spans="1:13" ht="15.75" x14ac:dyDescent="0.25">
      <c r="A154" s="320" t="s">
        <v>223</v>
      </c>
      <c r="B154" s="314">
        <v>902</v>
      </c>
      <c r="C154" s="316" t="s">
        <v>230</v>
      </c>
      <c r="D154" s="316" t="s">
        <v>234</v>
      </c>
      <c r="E154" s="316" t="s">
        <v>917</v>
      </c>
      <c r="F154" s="316" t="s">
        <v>224</v>
      </c>
      <c r="G154" s="321">
        <f>5525</f>
        <v>5525</v>
      </c>
      <c r="H154" s="321">
        <f t="shared" si="11"/>
        <v>5525</v>
      </c>
      <c r="I154" s="211"/>
    </row>
    <row r="155" spans="1:13" ht="31.5" x14ac:dyDescent="0.25">
      <c r="A155" s="320" t="s">
        <v>213</v>
      </c>
      <c r="B155" s="314">
        <v>902</v>
      </c>
      <c r="C155" s="316" t="s">
        <v>230</v>
      </c>
      <c r="D155" s="316" t="s">
        <v>234</v>
      </c>
      <c r="E155" s="316" t="s">
        <v>917</v>
      </c>
      <c r="F155" s="316" t="s">
        <v>147</v>
      </c>
      <c r="G155" s="321">
        <f>G156</f>
        <v>163</v>
      </c>
      <c r="H155" s="321">
        <f>H156</f>
        <v>163</v>
      </c>
      <c r="I155" s="211"/>
    </row>
    <row r="156" spans="1:13" ht="31.5" x14ac:dyDescent="0.25">
      <c r="A156" s="320" t="s">
        <v>148</v>
      </c>
      <c r="B156" s="314">
        <v>902</v>
      </c>
      <c r="C156" s="316" t="s">
        <v>230</v>
      </c>
      <c r="D156" s="316" t="s">
        <v>234</v>
      </c>
      <c r="E156" s="316" t="s">
        <v>917</v>
      </c>
      <c r="F156" s="316" t="s">
        <v>149</v>
      </c>
      <c r="G156" s="321">
        <f>163</f>
        <v>163</v>
      </c>
      <c r="H156" s="321">
        <f t="shared" si="11"/>
        <v>163</v>
      </c>
      <c r="I156" s="211"/>
    </row>
    <row r="157" spans="1:13" ht="47.25" x14ac:dyDescent="0.25">
      <c r="A157" s="320" t="s">
        <v>883</v>
      </c>
      <c r="B157" s="314">
        <v>902</v>
      </c>
      <c r="C157" s="316" t="s">
        <v>230</v>
      </c>
      <c r="D157" s="316" t="s">
        <v>234</v>
      </c>
      <c r="E157" s="316" t="s">
        <v>918</v>
      </c>
      <c r="F157" s="316"/>
      <c r="G157" s="321">
        <f>G158</f>
        <v>252</v>
      </c>
      <c r="H157" s="321">
        <f>H158</f>
        <v>252</v>
      </c>
      <c r="I157" s="211"/>
    </row>
    <row r="158" spans="1:13" ht="78.75" x14ac:dyDescent="0.25">
      <c r="A158" s="320" t="s">
        <v>142</v>
      </c>
      <c r="B158" s="314">
        <v>902</v>
      </c>
      <c r="C158" s="316" t="s">
        <v>230</v>
      </c>
      <c r="D158" s="316" t="s">
        <v>234</v>
      </c>
      <c r="E158" s="316" t="s">
        <v>918</v>
      </c>
      <c r="F158" s="316" t="s">
        <v>143</v>
      </c>
      <c r="G158" s="321">
        <f>G159</f>
        <v>252</v>
      </c>
      <c r="H158" s="321">
        <f>H159</f>
        <v>252</v>
      </c>
      <c r="I158" s="211"/>
    </row>
    <row r="159" spans="1:13" ht="19.5" customHeight="1" x14ac:dyDescent="0.25">
      <c r="A159" s="320" t="s">
        <v>223</v>
      </c>
      <c r="B159" s="314">
        <v>902</v>
      </c>
      <c r="C159" s="316" t="s">
        <v>230</v>
      </c>
      <c r="D159" s="316" t="s">
        <v>234</v>
      </c>
      <c r="E159" s="316" t="s">
        <v>918</v>
      </c>
      <c r="F159" s="316" t="s">
        <v>224</v>
      </c>
      <c r="G159" s="321">
        <f>252</f>
        <v>252</v>
      </c>
      <c r="H159" s="321">
        <f t="shared" si="11"/>
        <v>252</v>
      </c>
      <c r="I159" s="211"/>
    </row>
    <row r="160" spans="1:13" ht="15.75" x14ac:dyDescent="0.25">
      <c r="A160" s="318" t="s">
        <v>247</v>
      </c>
      <c r="B160" s="315">
        <v>902</v>
      </c>
      <c r="C160" s="319" t="s">
        <v>165</v>
      </c>
      <c r="D160" s="319"/>
      <c r="E160" s="319"/>
      <c r="F160" s="316"/>
      <c r="G160" s="317">
        <f>G174+G161</f>
        <v>594.79999999999995</v>
      </c>
      <c r="H160" s="317">
        <f>H174+H161</f>
        <v>594.79999999999995</v>
      </c>
      <c r="I160" s="211"/>
      <c r="M160" s="22"/>
    </row>
    <row r="161" spans="1:9" ht="15.75" x14ac:dyDescent="0.25">
      <c r="A161" s="318" t="s">
        <v>248</v>
      </c>
      <c r="B161" s="315">
        <v>902</v>
      </c>
      <c r="C161" s="319" t="s">
        <v>165</v>
      </c>
      <c r="D161" s="319" t="s">
        <v>249</v>
      </c>
      <c r="E161" s="319"/>
      <c r="F161" s="316"/>
      <c r="G161" s="317">
        <f>G162</f>
        <v>306</v>
      </c>
      <c r="H161" s="317">
        <f>H162</f>
        <v>306</v>
      </c>
      <c r="I161" s="211"/>
    </row>
    <row r="162" spans="1:9" ht="47.25" x14ac:dyDescent="0.25">
      <c r="A162" s="34" t="s">
        <v>196</v>
      </c>
      <c r="B162" s="315">
        <v>902</v>
      </c>
      <c r="C162" s="319" t="s">
        <v>165</v>
      </c>
      <c r="D162" s="319" t="s">
        <v>249</v>
      </c>
      <c r="E162" s="206" t="s">
        <v>197</v>
      </c>
      <c r="F162" s="228"/>
      <c r="G162" s="317">
        <f>G163+G170</f>
        <v>306</v>
      </c>
      <c r="H162" s="317">
        <f>H163+H170</f>
        <v>306</v>
      </c>
      <c r="I162" s="211"/>
    </row>
    <row r="163" spans="1:9" ht="31.5" x14ac:dyDescent="0.25">
      <c r="A163" s="34" t="s">
        <v>1157</v>
      </c>
      <c r="B163" s="315">
        <v>902</v>
      </c>
      <c r="C163" s="319" t="s">
        <v>165</v>
      </c>
      <c r="D163" s="319" t="s">
        <v>249</v>
      </c>
      <c r="E163" s="260" t="s">
        <v>921</v>
      </c>
      <c r="F163" s="228"/>
      <c r="G163" s="317">
        <f>G164+G167</f>
        <v>256</v>
      </c>
      <c r="H163" s="317">
        <f>H164+H167</f>
        <v>256</v>
      </c>
      <c r="I163" s="211"/>
    </row>
    <row r="164" spans="1:9" ht="15.75" x14ac:dyDescent="0.25">
      <c r="A164" s="320" t="s">
        <v>922</v>
      </c>
      <c r="B164" s="314">
        <v>902</v>
      </c>
      <c r="C164" s="316" t="s">
        <v>165</v>
      </c>
      <c r="D164" s="316" t="s">
        <v>249</v>
      </c>
      <c r="E164" s="316" t="s">
        <v>966</v>
      </c>
      <c r="F164" s="32"/>
      <c r="G164" s="321">
        <f>G165</f>
        <v>1</v>
      </c>
      <c r="H164" s="321">
        <f>H165</f>
        <v>1</v>
      </c>
      <c r="I164" s="211"/>
    </row>
    <row r="165" spans="1:9" ht="15.75" x14ac:dyDescent="0.25">
      <c r="A165" s="323" t="s">
        <v>150</v>
      </c>
      <c r="B165" s="314">
        <v>902</v>
      </c>
      <c r="C165" s="316" t="s">
        <v>165</v>
      </c>
      <c r="D165" s="316" t="s">
        <v>249</v>
      </c>
      <c r="E165" s="316" t="s">
        <v>966</v>
      </c>
      <c r="F165" s="32" t="s">
        <v>160</v>
      </c>
      <c r="G165" s="321">
        <f>G166</f>
        <v>1</v>
      </c>
      <c r="H165" s="321">
        <f>H166</f>
        <v>1</v>
      </c>
      <c r="I165" s="211"/>
    </row>
    <row r="166" spans="1:9" ht="47.25" x14ac:dyDescent="0.25">
      <c r="A166" s="323" t="s">
        <v>199</v>
      </c>
      <c r="B166" s="314">
        <v>902</v>
      </c>
      <c r="C166" s="316" t="s">
        <v>165</v>
      </c>
      <c r="D166" s="316" t="s">
        <v>249</v>
      </c>
      <c r="E166" s="316" t="s">
        <v>966</v>
      </c>
      <c r="F166" s="32" t="s">
        <v>175</v>
      </c>
      <c r="G166" s="321">
        <f>1</f>
        <v>1</v>
      </c>
      <c r="H166" s="321">
        <f t="shared" si="11"/>
        <v>1</v>
      </c>
      <c r="I166" s="211"/>
    </row>
    <row r="167" spans="1:9" ht="31.5" x14ac:dyDescent="0.25">
      <c r="A167" s="320" t="s">
        <v>250</v>
      </c>
      <c r="B167" s="314">
        <v>902</v>
      </c>
      <c r="C167" s="316" t="s">
        <v>165</v>
      </c>
      <c r="D167" s="316" t="s">
        <v>249</v>
      </c>
      <c r="E167" s="316" t="s">
        <v>925</v>
      </c>
      <c r="F167" s="316"/>
      <c r="G167" s="321">
        <f>G168</f>
        <v>255</v>
      </c>
      <c r="H167" s="321">
        <f>H168</f>
        <v>255</v>
      </c>
      <c r="I167" s="211"/>
    </row>
    <row r="168" spans="1:9" ht="15.75" x14ac:dyDescent="0.25">
      <c r="A168" s="320" t="s">
        <v>150</v>
      </c>
      <c r="B168" s="314">
        <v>902</v>
      </c>
      <c r="C168" s="316" t="s">
        <v>165</v>
      </c>
      <c r="D168" s="316" t="s">
        <v>249</v>
      </c>
      <c r="E168" s="316" t="s">
        <v>925</v>
      </c>
      <c r="F168" s="316" t="s">
        <v>160</v>
      </c>
      <c r="G168" s="321">
        <f>G169</f>
        <v>255</v>
      </c>
      <c r="H168" s="321">
        <f>H169</f>
        <v>255</v>
      </c>
      <c r="I168" s="211"/>
    </row>
    <row r="169" spans="1:9" ht="47.25" x14ac:dyDescent="0.25">
      <c r="A169" s="320" t="s">
        <v>199</v>
      </c>
      <c r="B169" s="314">
        <v>902</v>
      </c>
      <c r="C169" s="316" t="s">
        <v>165</v>
      </c>
      <c r="D169" s="316" t="s">
        <v>249</v>
      </c>
      <c r="E169" s="316" t="s">
        <v>925</v>
      </c>
      <c r="F169" s="316" t="s">
        <v>175</v>
      </c>
      <c r="G169" s="321">
        <f>255</f>
        <v>255</v>
      </c>
      <c r="H169" s="321">
        <f t="shared" si="11"/>
        <v>255</v>
      </c>
      <c r="I169" s="211"/>
    </row>
    <row r="170" spans="1:9" ht="47.25" x14ac:dyDescent="0.25">
      <c r="A170" s="219" t="s">
        <v>1158</v>
      </c>
      <c r="B170" s="315">
        <v>902</v>
      </c>
      <c r="C170" s="319" t="s">
        <v>165</v>
      </c>
      <c r="D170" s="319" t="s">
        <v>249</v>
      </c>
      <c r="E170" s="206" t="s">
        <v>924</v>
      </c>
      <c r="F170" s="228"/>
      <c r="G170" s="317">
        <f t="shared" ref="G170:H172" si="12">G171</f>
        <v>50</v>
      </c>
      <c r="H170" s="317">
        <f t="shared" si="12"/>
        <v>50</v>
      </c>
      <c r="I170" s="211"/>
    </row>
    <row r="171" spans="1:9" ht="15.75" x14ac:dyDescent="0.25">
      <c r="A171" s="320" t="s">
        <v>923</v>
      </c>
      <c r="B171" s="314">
        <v>902</v>
      </c>
      <c r="C171" s="316" t="s">
        <v>165</v>
      </c>
      <c r="D171" s="316" t="s">
        <v>249</v>
      </c>
      <c r="E171" s="311" t="s">
        <v>967</v>
      </c>
      <c r="F171" s="32"/>
      <c r="G171" s="321">
        <f t="shared" si="12"/>
        <v>50</v>
      </c>
      <c r="H171" s="321">
        <f t="shared" si="12"/>
        <v>50</v>
      </c>
      <c r="I171" s="211"/>
    </row>
    <row r="172" spans="1:9" ht="15.75" x14ac:dyDescent="0.25">
      <c r="A172" s="323" t="s">
        <v>150</v>
      </c>
      <c r="B172" s="314">
        <v>902</v>
      </c>
      <c r="C172" s="316" t="s">
        <v>165</v>
      </c>
      <c r="D172" s="316" t="s">
        <v>249</v>
      </c>
      <c r="E172" s="311" t="s">
        <v>967</v>
      </c>
      <c r="F172" s="32" t="s">
        <v>160</v>
      </c>
      <c r="G172" s="321">
        <f t="shared" si="12"/>
        <v>50</v>
      </c>
      <c r="H172" s="321">
        <f t="shared" si="12"/>
        <v>50</v>
      </c>
      <c r="I172" s="211"/>
    </row>
    <row r="173" spans="1:9" ht="47.25" x14ac:dyDescent="0.25">
      <c r="A173" s="323" t="s">
        <v>199</v>
      </c>
      <c r="B173" s="314">
        <v>902</v>
      </c>
      <c r="C173" s="316" t="s">
        <v>165</v>
      </c>
      <c r="D173" s="316" t="s">
        <v>249</v>
      </c>
      <c r="E173" s="311" t="s">
        <v>967</v>
      </c>
      <c r="F173" s="32" t="s">
        <v>175</v>
      </c>
      <c r="G173" s="321">
        <f>50</f>
        <v>50</v>
      </c>
      <c r="H173" s="321">
        <f t="shared" si="11"/>
        <v>50</v>
      </c>
      <c r="I173" s="211"/>
    </row>
    <row r="174" spans="1:9" ht="31.5" x14ac:dyDescent="0.25">
      <c r="A174" s="318" t="s">
        <v>252</v>
      </c>
      <c r="B174" s="315">
        <v>902</v>
      </c>
      <c r="C174" s="319" t="s">
        <v>165</v>
      </c>
      <c r="D174" s="319" t="s">
        <v>253</v>
      </c>
      <c r="E174" s="319"/>
      <c r="F174" s="319"/>
      <c r="G174" s="317">
        <f>G175+G182</f>
        <v>288.8</v>
      </c>
      <c r="H174" s="317">
        <f>H175+H182</f>
        <v>288.8</v>
      </c>
      <c r="I174" s="211"/>
    </row>
    <row r="175" spans="1:9" ht="31.5" x14ac:dyDescent="0.25">
      <c r="A175" s="318" t="s">
        <v>988</v>
      </c>
      <c r="B175" s="315">
        <v>902</v>
      </c>
      <c r="C175" s="319" t="s">
        <v>165</v>
      </c>
      <c r="D175" s="319" t="s">
        <v>253</v>
      </c>
      <c r="E175" s="319" t="s">
        <v>902</v>
      </c>
      <c r="F175" s="319"/>
      <c r="G175" s="317">
        <f>G176</f>
        <v>288.8</v>
      </c>
      <c r="H175" s="317">
        <f>H176</f>
        <v>288.8</v>
      </c>
      <c r="I175" s="211"/>
    </row>
    <row r="176" spans="1:9" ht="31.5" x14ac:dyDescent="0.25">
      <c r="A176" s="318" t="s">
        <v>930</v>
      </c>
      <c r="B176" s="315">
        <v>902</v>
      </c>
      <c r="C176" s="319" t="s">
        <v>165</v>
      </c>
      <c r="D176" s="319" t="s">
        <v>253</v>
      </c>
      <c r="E176" s="319" t="s">
        <v>907</v>
      </c>
      <c r="F176" s="319"/>
      <c r="G176" s="317">
        <f>G177+G187</f>
        <v>288.8</v>
      </c>
      <c r="H176" s="317">
        <f>H177+H187</f>
        <v>288.8</v>
      </c>
      <c r="I176" s="211"/>
    </row>
    <row r="177" spans="1:9" ht="63" x14ac:dyDescent="0.25">
      <c r="A177" s="31" t="s">
        <v>256</v>
      </c>
      <c r="B177" s="314">
        <v>902</v>
      </c>
      <c r="C177" s="316" t="s">
        <v>165</v>
      </c>
      <c r="D177" s="316" t="s">
        <v>253</v>
      </c>
      <c r="E177" s="316" t="s">
        <v>995</v>
      </c>
      <c r="F177" s="316"/>
      <c r="G177" s="321">
        <f>G178+G180</f>
        <v>288.8</v>
      </c>
      <c r="H177" s="321">
        <f>H178+H180</f>
        <v>288.8</v>
      </c>
      <c r="I177" s="211"/>
    </row>
    <row r="178" spans="1:9" ht="78.75" x14ac:dyDescent="0.25">
      <c r="A178" s="320" t="s">
        <v>142</v>
      </c>
      <c r="B178" s="314">
        <v>902</v>
      </c>
      <c r="C178" s="316" t="s">
        <v>165</v>
      </c>
      <c r="D178" s="316" t="s">
        <v>253</v>
      </c>
      <c r="E178" s="316" t="s">
        <v>995</v>
      </c>
      <c r="F178" s="316" t="s">
        <v>143</v>
      </c>
      <c r="G178" s="321">
        <f>G179</f>
        <v>187</v>
      </c>
      <c r="H178" s="321">
        <f>H179</f>
        <v>187</v>
      </c>
      <c r="I178" s="211"/>
    </row>
    <row r="179" spans="1:9" ht="31.5" x14ac:dyDescent="0.25">
      <c r="A179" s="320" t="s">
        <v>144</v>
      </c>
      <c r="B179" s="314">
        <v>902</v>
      </c>
      <c r="C179" s="316" t="s">
        <v>165</v>
      </c>
      <c r="D179" s="316" t="s">
        <v>253</v>
      </c>
      <c r="E179" s="316" t="s">
        <v>995</v>
      </c>
      <c r="F179" s="316" t="s">
        <v>145</v>
      </c>
      <c r="G179" s="321">
        <v>187</v>
      </c>
      <c r="H179" s="321">
        <f t="shared" si="11"/>
        <v>187</v>
      </c>
      <c r="I179" s="211"/>
    </row>
    <row r="180" spans="1:9" ht="31.5" x14ac:dyDescent="0.25">
      <c r="A180" s="320" t="s">
        <v>146</v>
      </c>
      <c r="B180" s="314">
        <v>902</v>
      </c>
      <c r="C180" s="316" t="s">
        <v>165</v>
      </c>
      <c r="D180" s="316" t="s">
        <v>253</v>
      </c>
      <c r="E180" s="316" t="s">
        <v>995</v>
      </c>
      <c r="F180" s="316" t="s">
        <v>147</v>
      </c>
      <c r="G180" s="321">
        <f>G181</f>
        <v>101.8</v>
      </c>
      <c r="H180" s="321">
        <f>H181</f>
        <v>101.8</v>
      </c>
      <c r="I180" s="211"/>
    </row>
    <row r="181" spans="1:9" ht="31.5" x14ac:dyDescent="0.25">
      <c r="A181" s="320" t="s">
        <v>148</v>
      </c>
      <c r="B181" s="314">
        <v>902</v>
      </c>
      <c r="C181" s="316" t="s">
        <v>165</v>
      </c>
      <c r="D181" s="316" t="s">
        <v>253</v>
      </c>
      <c r="E181" s="316" t="s">
        <v>995</v>
      </c>
      <c r="F181" s="316" t="s">
        <v>149</v>
      </c>
      <c r="G181" s="321">
        <v>101.8</v>
      </c>
      <c r="H181" s="321">
        <f t="shared" si="11"/>
        <v>101.8</v>
      </c>
      <c r="I181" s="211"/>
    </row>
    <row r="182" spans="1:9" ht="47.25" hidden="1" x14ac:dyDescent="0.25">
      <c r="A182" s="318" t="s">
        <v>1237</v>
      </c>
      <c r="B182" s="315">
        <v>902</v>
      </c>
      <c r="C182" s="319" t="s">
        <v>165</v>
      </c>
      <c r="D182" s="319" t="s">
        <v>253</v>
      </c>
      <c r="E182" s="319" t="s">
        <v>171</v>
      </c>
      <c r="F182" s="319"/>
      <c r="G182" s="317">
        <f>G183</f>
        <v>0</v>
      </c>
      <c r="H182" s="317">
        <f>H183</f>
        <v>0</v>
      </c>
      <c r="I182" s="211"/>
    </row>
    <row r="183" spans="1:9" ht="47.25" hidden="1" x14ac:dyDescent="0.25">
      <c r="A183" s="318" t="s">
        <v>1241</v>
      </c>
      <c r="B183" s="315">
        <v>902</v>
      </c>
      <c r="C183" s="319" t="s">
        <v>165</v>
      </c>
      <c r="D183" s="319" t="s">
        <v>253</v>
      </c>
      <c r="E183" s="319" t="s">
        <v>1238</v>
      </c>
      <c r="F183" s="319"/>
      <c r="G183" s="317">
        <f>G184+G187</f>
        <v>0</v>
      </c>
      <c r="H183" s="317">
        <f>H184+H187</f>
        <v>0</v>
      </c>
      <c r="I183" s="211"/>
    </row>
    <row r="184" spans="1:9" ht="31.5" hidden="1" x14ac:dyDescent="0.25">
      <c r="A184" s="320" t="s">
        <v>1242</v>
      </c>
      <c r="B184" s="314">
        <v>902</v>
      </c>
      <c r="C184" s="316" t="s">
        <v>165</v>
      </c>
      <c r="D184" s="316" t="s">
        <v>253</v>
      </c>
      <c r="E184" s="316" t="s">
        <v>1239</v>
      </c>
      <c r="F184" s="316"/>
      <c r="G184" s="321">
        <f>G185</f>
        <v>0</v>
      </c>
      <c r="H184" s="321">
        <f t="shared" si="11"/>
        <v>0</v>
      </c>
      <c r="I184" s="211"/>
    </row>
    <row r="185" spans="1:9" ht="15.75" hidden="1" x14ac:dyDescent="0.25">
      <c r="A185" s="320" t="s">
        <v>150</v>
      </c>
      <c r="B185" s="314">
        <v>902</v>
      </c>
      <c r="C185" s="316" t="s">
        <v>165</v>
      </c>
      <c r="D185" s="316" t="s">
        <v>253</v>
      </c>
      <c r="E185" s="316" t="s">
        <v>1239</v>
      </c>
      <c r="F185" s="316" t="s">
        <v>160</v>
      </c>
      <c r="G185" s="321">
        <f>G186</f>
        <v>0</v>
      </c>
      <c r="H185" s="321">
        <f t="shared" si="11"/>
        <v>0</v>
      </c>
      <c r="I185" s="211"/>
    </row>
    <row r="186" spans="1:9" ht="47.25" hidden="1" x14ac:dyDescent="0.25">
      <c r="A186" s="320" t="s">
        <v>199</v>
      </c>
      <c r="B186" s="314">
        <v>902</v>
      </c>
      <c r="C186" s="316" t="s">
        <v>165</v>
      </c>
      <c r="D186" s="316" t="s">
        <v>253</v>
      </c>
      <c r="E186" s="316" t="s">
        <v>1239</v>
      </c>
      <c r="F186" s="316" t="s">
        <v>175</v>
      </c>
      <c r="G186" s="321">
        <v>0</v>
      </c>
      <c r="H186" s="321">
        <v>0</v>
      </c>
      <c r="I186" s="211"/>
    </row>
    <row r="187" spans="1:9" ht="31.5" hidden="1" x14ac:dyDescent="0.25">
      <c r="A187" s="320" t="s">
        <v>254</v>
      </c>
      <c r="B187" s="314">
        <v>902</v>
      </c>
      <c r="C187" s="316" t="s">
        <v>165</v>
      </c>
      <c r="D187" s="316" t="s">
        <v>253</v>
      </c>
      <c r="E187" s="316" t="s">
        <v>1240</v>
      </c>
      <c r="F187" s="319"/>
      <c r="G187" s="321">
        <f>'Пр.4 ведом.20'!G204</f>
        <v>0</v>
      </c>
      <c r="H187" s="321">
        <f t="shared" si="11"/>
        <v>0</v>
      </c>
      <c r="I187" s="211"/>
    </row>
    <row r="188" spans="1:9" ht="15.75" hidden="1" x14ac:dyDescent="0.25">
      <c r="A188" s="320" t="s">
        <v>150</v>
      </c>
      <c r="B188" s="314">
        <v>902</v>
      </c>
      <c r="C188" s="316" t="s">
        <v>165</v>
      </c>
      <c r="D188" s="316" t="s">
        <v>253</v>
      </c>
      <c r="E188" s="316" t="s">
        <v>1240</v>
      </c>
      <c r="F188" s="316" t="s">
        <v>160</v>
      </c>
      <c r="G188" s="321">
        <f>'Пр.4 ведом.20'!G205</f>
        <v>0</v>
      </c>
      <c r="H188" s="321">
        <f t="shared" si="11"/>
        <v>0</v>
      </c>
      <c r="I188" s="211"/>
    </row>
    <row r="189" spans="1:9" ht="47.25" hidden="1" x14ac:dyDescent="0.25">
      <c r="A189" s="320" t="s">
        <v>199</v>
      </c>
      <c r="B189" s="314">
        <v>902</v>
      </c>
      <c r="C189" s="316" t="s">
        <v>165</v>
      </c>
      <c r="D189" s="316" t="s">
        <v>253</v>
      </c>
      <c r="E189" s="316" t="s">
        <v>1240</v>
      </c>
      <c r="F189" s="316" t="s">
        <v>175</v>
      </c>
      <c r="G189" s="321">
        <f>'Пр.4 ведом.20'!G206</f>
        <v>0</v>
      </c>
      <c r="H189" s="321">
        <f t="shared" si="11"/>
        <v>0</v>
      </c>
      <c r="I189" s="211"/>
    </row>
    <row r="190" spans="1:9" ht="15.75" x14ac:dyDescent="0.25">
      <c r="A190" s="318" t="s">
        <v>258</v>
      </c>
      <c r="B190" s="315">
        <v>902</v>
      </c>
      <c r="C190" s="319" t="s">
        <v>259</v>
      </c>
      <c r="D190" s="319"/>
      <c r="E190" s="319"/>
      <c r="F190" s="319"/>
      <c r="G190" s="317">
        <f>G191+G197+G206</f>
        <v>18087.400000000001</v>
      </c>
      <c r="H190" s="317">
        <f>H191+H197+H206</f>
        <v>13087.4</v>
      </c>
      <c r="I190" s="211"/>
    </row>
    <row r="191" spans="1:9" ht="15.75" x14ac:dyDescent="0.25">
      <c r="A191" s="318" t="s">
        <v>260</v>
      </c>
      <c r="B191" s="315">
        <v>902</v>
      </c>
      <c r="C191" s="319" t="s">
        <v>259</v>
      </c>
      <c r="D191" s="319" t="s">
        <v>133</v>
      </c>
      <c r="E191" s="319"/>
      <c r="F191" s="319"/>
      <c r="G191" s="317">
        <f t="shared" ref="G191:H191" si="13">G192</f>
        <v>9456</v>
      </c>
      <c r="H191" s="317">
        <f t="shared" si="13"/>
        <v>9456</v>
      </c>
      <c r="I191" s="211"/>
    </row>
    <row r="192" spans="1:9" ht="15.75" x14ac:dyDescent="0.25">
      <c r="A192" s="318" t="s">
        <v>156</v>
      </c>
      <c r="B192" s="315">
        <v>902</v>
      </c>
      <c r="C192" s="319" t="s">
        <v>259</v>
      </c>
      <c r="D192" s="319" t="s">
        <v>133</v>
      </c>
      <c r="E192" s="319" t="s">
        <v>910</v>
      </c>
      <c r="F192" s="319"/>
      <c r="G192" s="317">
        <f t="shared" ref="G192:H195" si="14">G193</f>
        <v>9456</v>
      </c>
      <c r="H192" s="317">
        <f t="shared" si="14"/>
        <v>9456</v>
      </c>
      <c r="I192" s="211"/>
    </row>
    <row r="193" spans="1:9" ht="31.5" x14ac:dyDescent="0.25">
      <c r="A193" s="318" t="s">
        <v>914</v>
      </c>
      <c r="B193" s="315">
        <v>902</v>
      </c>
      <c r="C193" s="319" t="s">
        <v>259</v>
      </c>
      <c r="D193" s="319" t="s">
        <v>133</v>
      </c>
      <c r="E193" s="319" t="s">
        <v>909</v>
      </c>
      <c r="F193" s="319"/>
      <c r="G193" s="317">
        <f t="shared" si="14"/>
        <v>9456</v>
      </c>
      <c r="H193" s="317">
        <f t="shared" si="14"/>
        <v>9456</v>
      </c>
      <c r="I193" s="211"/>
    </row>
    <row r="194" spans="1:9" ht="15.75" x14ac:dyDescent="0.25">
      <c r="A194" s="320" t="s">
        <v>261</v>
      </c>
      <c r="B194" s="314">
        <v>902</v>
      </c>
      <c r="C194" s="316" t="s">
        <v>259</v>
      </c>
      <c r="D194" s="316" t="s">
        <v>133</v>
      </c>
      <c r="E194" s="316" t="s">
        <v>926</v>
      </c>
      <c r="F194" s="316"/>
      <c r="G194" s="321">
        <f t="shared" si="14"/>
        <v>9456</v>
      </c>
      <c r="H194" s="321">
        <f t="shared" si="14"/>
        <v>9456</v>
      </c>
      <c r="I194" s="211"/>
    </row>
    <row r="195" spans="1:9" ht="22.7" customHeight="1" x14ac:dyDescent="0.25">
      <c r="A195" s="320" t="s">
        <v>263</v>
      </c>
      <c r="B195" s="314">
        <v>902</v>
      </c>
      <c r="C195" s="316" t="s">
        <v>259</v>
      </c>
      <c r="D195" s="316" t="s">
        <v>133</v>
      </c>
      <c r="E195" s="316" t="s">
        <v>926</v>
      </c>
      <c r="F195" s="316" t="s">
        <v>264</v>
      </c>
      <c r="G195" s="321">
        <f t="shared" si="14"/>
        <v>9456</v>
      </c>
      <c r="H195" s="321">
        <f t="shared" si="14"/>
        <v>9456</v>
      </c>
      <c r="I195" s="211"/>
    </row>
    <row r="196" spans="1:9" ht="31.5" x14ac:dyDescent="0.25">
      <c r="A196" s="320" t="s">
        <v>265</v>
      </c>
      <c r="B196" s="314">
        <v>902</v>
      </c>
      <c r="C196" s="316" t="s">
        <v>259</v>
      </c>
      <c r="D196" s="316" t="s">
        <v>133</v>
      </c>
      <c r="E196" s="316" t="s">
        <v>926</v>
      </c>
      <c r="F196" s="316" t="s">
        <v>266</v>
      </c>
      <c r="G196" s="321">
        <f>9456</f>
        <v>9456</v>
      </c>
      <c r="H196" s="321">
        <f t="shared" si="11"/>
        <v>9456</v>
      </c>
      <c r="I196" s="211"/>
    </row>
    <row r="197" spans="1:9" ht="15.75" x14ac:dyDescent="0.25">
      <c r="A197" s="318" t="s">
        <v>267</v>
      </c>
      <c r="B197" s="315">
        <v>902</v>
      </c>
      <c r="C197" s="319" t="s">
        <v>259</v>
      </c>
      <c r="D197" s="319" t="s">
        <v>230</v>
      </c>
      <c r="E197" s="316"/>
      <c r="F197" s="316"/>
      <c r="G197" s="317">
        <f>G198</f>
        <v>5010</v>
      </c>
      <c r="H197" s="317">
        <f>H198</f>
        <v>10</v>
      </c>
      <c r="I197" s="211"/>
    </row>
    <row r="198" spans="1:9" ht="78.75" x14ac:dyDescent="0.25">
      <c r="A198" s="318" t="s">
        <v>268</v>
      </c>
      <c r="B198" s="315">
        <v>902</v>
      </c>
      <c r="C198" s="319" t="s">
        <v>259</v>
      </c>
      <c r="D198" s="319" t="s">
        <v>230</v>
      </c>
      <c r="E198" s="319" t="s">
        <v>269</v>
      </c>
      <c r="F198" s="319"/>
      <c r="G198" s="317">
        <f>G199</f>
        <v>5010</v>
      </c>
      <c r="H198" s="317">
        <f>H199</f>
        <v>10</v>
      </c>
      <c r="I198" s="211"/>
    </row>
    <row r="199" spans="1:9" ht="47.25" x14ac:dyDescent="0.25">
      <c r="A199" s="318" t="s">
        <v>929</v>
      </c>
      <c r="B199" s="315">
        <v>902</v>
      </c>
      <c r="C199" s="319" t="s">
        <v>259</v>
      </c>
      <c r="D199" s="319" t="s">
        <v>230</v>
      </c>
      <c r="E199" s="319" t="s">
        <v>927</v>
      </c>
      <c r="F199" s="319"/>
      <c r="G199" s="317">
        <f>G200+G203</f>
        <v>5010</v>
      </c>
      <c r="H199" s="317">
        <f>H200+H203</f>
        <v>10</v>
      </c>
      <c r="I199" s="211"/>
    </row>
    <row r="200" spans="1:9" ht="31.5" x14ac:dyDescent="0.25">
      <c r="A200" s="320" t="s">
        <v>928</v>
      </c>
      <c r="B200" s="314">
        <v>902</v>
      </c>
      <c r="C200" s="316" t="s">
        <v>259</v>
      </c>
      <c r="D200" s="316" t="s">
        <v>230</v>
      </c>
      <c r="E200" s="316" t="s">
        <v>1460</v>
      </c>
      <c r="F200" s="316"/>
      <c r="G200" s="321">
        <f>G201</f>
        <v>10</v>
      </c>
      <c r="H200" s="321">
        <f>H201</f>
        <v>10</v>
      </c>
      <c r="I200" s="211"/>
    </row>
    <row r="201" spans="1:9" ht="19.5" customHeight="1" x14ac:dyDescent="0.25">
      <c r="A201" s="320" t="s">
        <v>263</v>
      </c>
      <c r="B201" s="314">
        <v>902</v>
      </c>
      <c r="C201" s="316" t="s">
        <v>259</v>
      </c>
      <c r="D201" s="316" t="s">
        <v>230</v>
      </c>
      <c r="E201" s="316" t="s">
        <v>1460</v>
      </c>
      <c r="F201" s="316" t="s">
        <v>264</v>
      </c>
      <c r="G201" s="321">
        <f>G202</f>
        <v>10</v>
      </c>
      <c r="H201" s="321">
        <f>H202</f>
        <v>10</v>
      </c>
      <c r="I201" s="211"/>
    </row>
    <row r="202" spans="1:9" ht="31.5" x14ac:dyDescent="0.25">
      <c r="A202" s="320" t="s">
        <v>265</v>
      </c>
      <c r="B202" s="314">
        <v>902</v>
      </c>
      <c r="C202" s="316" t="s">
        <v>259</v>
      </c>
      <c r="D202" s="316" t="s">
        <v>230</v>
      </c>
      <c r="E202" s="316" t="s">
        <v>1460</v>
      </c>
      <c r="F202" s="316" t="s">
        <v>266</v>
      </c>
      <c r="G202" s="321">
        <f>10</f>
        <v>10</v>
      </c>
      <c r="H202" s="321">
        <f t="shared" si="11"/>
        <v>10</v>
      </c>
      <c r="I202" s="211"/>
    </row>
    <row r="203" spans="1:9" s="210" customFormat="1" ht="63" x14ac:dyDescent="0.25">
      <c r="A203" s="320" t="s">
        <v>1459</v>
      </c>
      <c r="B203" s="314">
        <v>902</v>
      </c>
      <c r="C203" s="316" t="s">
        <v>259</v>
      </c>
      <c r="D203" s="316" t="s">
        <v>230</v>
      </c>
      <c r="E203" s="316" t="s">
        <v>1409</v>
      </c>
      <c r="F203" s="316"/>
      <c r="G203" s="321">
        <f>G204</f>
        <v>5000</v>
      </c>
      <c r="H203" s="321">
        <f>H204</f>
        <v>0</v>
      </c>
      <c r="I203" s="211"/>
    </row>
    <row r="204" spans="1:9" s="210" customFormat="1" ht="20.25" customHeight="1" x14ac:dyDescent="0.25">
      <c r="A204" s="320" t="s">
        <v>263</v>
      </c>
      <c r="B204" s="314">
        <v>902</v>
      </c>
      <c r="C204" s="316" t="s">
        <v>259</v>
      </c>
      <c r="D204" s="316" t="s">
        <v>230</v>
      </c>
      <c r="E204" s="316" t="s">
        <v>1409</v>
      </c>
      <c r="F204" s="316" t="s">
        <v>264</v>
      </c>
      <c r="G204" s="321">
        <f>G205</f>
        <v>5000</v>
      </c>
      <c r="H204" s="321">
        <f>H205</f>
        <v>0</v>
      </c>
      <c r="I204" s="211"/>
    </row>
    <row r="205" spans="1:9" s="210" customFormat="1" ht="31.5" x14ac:dyDescent="0.25">
      <c r="A205" s="320" t="s">
        <v>265</v>
      </c>
      <c r="B205" s="314">
        <v>902</v>
      </c>
      <c r="C205" s="316" t="s">
        <v>259</v>
      </c>
      <c r="D205" s="316" t="s">
        <v>230</v>
      </c>
      <c r="E205" s="316" t="s">
        <v>1409</v>
      </c>
      <c r="F205" s="316" t="s">
        <v>266</v>
      </c>
      <c r="G205" s="321">
        <v>5000</v>
      </c>
      <c r="H205" s="321">
        <v>0</v>
      </c>
      <c r="I205" s="211"/>
    </row>
    <row r="206" spans="1:9" ht="15.75" x14ac:dyDescent="0.25">
      <c r="A206" s="318" t="s">
        <v>273</v>
      </c>
      <c r="B206" s="315">
        <v>902</v>
      </c>
      <c r="C206" s="319" t="s">
        <v>259</v>
      </c>
      <c r="D206" s="319" t="s">
        <v>135</v>
      </c>
      <c r="E206" s="319"/>
      <c r="F206" s="319"/>
      <c r="G206" s="317">
        <f t="shared" ref="G206:H208" si="15">G207</f>
        <v>3621.4</v>
      </c>
      <c r="H206" s="317">
        <f t="shared" si="15"/>
        <v>3621.4</v>
      </c>
      <c r="I206" s="211"/>
    </row>
    <row r="207" spans="1:9" ht="31.5" x14ac:dyDescent="0.25">
      <c r="A207" s="318" t="s">
        <v>988</v>
      </c>
      <c r="B207" s="315">
        <v>902</v>
      </c>
      <c r="C207" s="319" t="s">
        <v>259</v>
      </c>
      <c r="D207" s="319" t="s">
        <v>135</v>
      </c>
      <c r="E207" s="319" t="s">
        <v>902</v>
      </c>
      <c r="F207" s="319"/>
      <c r="G207" s="317">
        <f t="shared" si="15"/>
        <v>3621.4</v>
      </c>
      <c r="H207" s="317">
        <f t="shared" si="15"/>
        <v>3621.4</v>
      </c>
      <c r="I207" s="211"/>
    </row>
    <row r="208" spans="1:9" ht="31.5" x14ac:dyDescent="0.25">
      <c r="A208" s="318" t="s">
        <v>930</v>
      </c>
      <c r="B208" s="315">
        <v>902</v>
      </c>
      <c r="C208" s="319" t="s">
        <v>259</v>
      </c>
      <c r="D208" s="319" t="s">
        <v>135</v>
      </c>
      <c r="E208" s="319" t="s">
        <v>907</v>
      </c>
      <c r="F208" s="319"/>
      <c r="G208" s="317">
        <f t="shared" si="15"/>
        <v>3621.4</v>
      </c>
      <c r="H208" s="317">
        <f t="shared" si="15"/>
        <v>3621.4</v>
      </c>
      <c r="I208" s="211"/>
    </row>
    <row r="209" spans="1:9" ht="47.25" x14ac:dyDescent="0.25">
      <c r="A209" s="31" t="s">
        <v>274</v>
      </c>
      <c r="B209" s="314">
        <v>902</v>
      </c>
      <c r="C209" s="316" t="s">
        <v>259</v>
      </c>
      <c r="D209" s="316" t="s">
        <v>135</v>
      </c>
      <c r="E209" s="316" t="s">
        <v>996</v>
      </c>
      <c r="F209" s="316"/>
      <c r="G209" s="321">
        <f>G210+G212</f>
        <v>3621.4</v>
      </c>
      <c r="H209" s="321">
        <f>H210+H212</f>
        <v>3621.4</v>
      </c>
      <c r="I209" s="211"/>
    </row>
    <row r="210" spans="1:9" ht="78.75" x14ac:dyDescent="0.25">
      <c r="A210" s="320" t="s">
        <v>142</v>
      </c>
      <c r="B210" s="314">
        <v>902</v>
      </c>
      <c r="C210" s="316" t="s">
        <v>259</v>
      </c>
      <c r="D210" s="316" t="s">
        <v>135</v>
      </c>
      <c r="E210" s="316" t="s">
        <v>996</v>
      </c>
      <c r="F210" s="316" t="s">
        <v>143</v>
      </c>
      <c r="G210" s="321">
        <f>G211</f>
        <v>3353.3</v>
      </c>
      <c r="H210" s="321">
        <f>H211</f>
        <v>3353.3</v>
      </c>
      <c r="I210" s="211"/>
    </row>
    <row r="211" spans="1:9" ht="31.5" x14ac:dyDescent="0.25">
      <c r="A211" s="320" t="s">
        <v>144</v>
      </c>
      <c r="B211" s="314">
        <v>902</v>
      </c>
      <c r="C211" s="316" t="s">
        <v>259</v>
      </c>
      <c r="D211" s="316" t="s">
        <v>135</v>
      </c>
      <c r="E211" s="316" t="s">
        <v>996</v>
      </c>
      <c r="F211" s="316" t="s">
        <v>145</v>
      </c>
      <c r="G211" s="321">
        <f>3353.3</f>
        <v>3353.3</v>
      </c>
      <c r="H211" s="321">
        <f t="shared" si="11"/>
        <v>3353.3</v>
      </c>
      <c r="I211" s="211"/>
    </row>
    <row r="212" spans="1:9" ht="31.5" x14ac:dyDescent="0.25">
      <c r="A212" s="320" t="s">
        <v>146</v>
      </c>
      <c r="B212" s="314">
        <v>902</v>
      </c>
      <c r="C212" s="316" t="s">
        <v>259</v>
      </c>
      <c r="D212" s="316" t="s">
        <v>135</v>
      </c>
      <c r="E212" s="316" t="s">
        <v>996</v>
      </c>
      <c r="F212" s="316" t="s">
        <v>147</v>
      </c>
      <c r="G212" s="321">
        <f>G213</f>
        <v>268.10000000000002</v>
      </c>
      <c r="H212" s="321">
        <f>H213</f>
        <v>268.10000000000002</v>
      </c>
      <c r="I212" s="211"/>
    </row>
    <row r="213" spans="1:9" ht="31.5" x14ac:dyDescent="0.25">
      <c r="A213" s="320" t="s">
        <v>148</v>
      </c>
      <c r="B213" s="314">
        <v>902</v>
      </c>
      <c r="C213" s="316" t="s">
        <v>259</v>
      </c>
      <c r="D213" s="316" t="s">
        <v>135</v>
      </c>
      <c r="E213" s="316" t="s">
        <v>996</v>
      </c>
      <c r="F213" s="316" t="s">
        <v>149</v>
      </c>
      <c r="G213" s="321">
        <f>268.1</f>
        <v>268.10000000000002</v>
      </c>
      <c r="H213" s="321">
        <f t="shared" si="11"/>
        <v>268.10000000000002</v>
      </c>
      <c r="I213" s="211"/>
    </row>
    <row r="214" spans="1:9" ht="47.25" x14ac:dyDescent="0.25">
      <c r="A214" s="315" t="s">
        <v>276</v>
      </c>
      <c r="B214" s="315">
        <v>903</v>
      </c>
      <c r="C214" s="316"/>
      <c r="D214" s="316"/>
      <c r="E214" s="316"/>
      <c r="F214" s="316"/>
      <c r="G214" s="317">
        <f>G277+G341+G444+G215+G248+G473</f>
        <v>95886.212</v>
      </c>
      <c r="H214" s="317">
        <f>H277+H341+H444+H215+H248+H473</f>
        <v>93500.599999999991</v>
      </c>
      <c r="I214" s="211"/>
    </row>
    <row r="215" spans="1:9" ht="15.75" x14ac:dyDescent="0.25">
      <c r="A215" s="318" t="s">
        <v>132</v>
      </c>
      <c r="B215" s="315">
        <v>903</v>
      </c>
      <c r="C215" s="319" t="s">
        <v>133</v>
      </c>
      <c r="D215" s="316"/>
      <c r="E215" s="316"/>
      <c r="F215" s="316"/>
      <c r="G215" s="317">
        <f>G216</f>
        <v>120</v>
      </c>
      <c r="H215" s="317">
        <f>H216</f>
        <v>120</v>
      </c>
      <c r="I215" s="211"/>
    </row>
    <row r="216" spans="1:9" ht="15.75" x14ac:dyDescent="0.25">
      <c r="A216" s="318" t="s">
        <v>154</v>
      </c>
      <c r="B216" s="315">
        <v>903</v>
      </c>
      <c r="C216" s="319" t="s">
        <v>133</v>
      </c>
      <c r="D216" s="319" t="s">
        <v>155</v>
      </c>
      <c r="E216" s="316"/>
      <c r="F216" s="316"/>
      <c r="G216" s="317">
        <f>G217+G226+G243</f>
        <v>120</v>
      </c>
      <c r="H216" s="317">
        <f>H217+H226+H243</f>
        <v>120</v>
      </c>
      <c r="I216" s="211"/>
    </row>
    <row r="217" spans="1:9" ht="47.25" x14ac:dyDescent="0.25">
      <c r="A217" s="318" t="s">
        <v>1415</v>
      </c>
      <c r="B217" s="315">
        <v>903</v>
      </c>
      <c r="C217" s="8" t="s">
        <v>133</v>
      </c>
      <c r="D217" s="8" t="s">
        <v>155</v>
      </c>
      <c r="E217" s="206" t="s">
        <v>359</v>
      </c>
      <c r="F217" s="8"/>
      <c r="G217" s="317">
        <f>G218</f>
        <v>60</v>
      </c>
      <c r="H217" s="317">
        <f>H218</f>
        <v>60</v>
      </c>
      <c r="I217" s="211"/>
    </row>
    <row r="218" spans="1:9" ht="94.5" x14ac:dyDescent="0.25">
      <c r="A218" s="41" t="s">
        <v>395</v>
      </c>
      <c r="B218" s="315">
        <v>903</v>
      </c>
      <c r="C218" s="312" t="s">
        <v>133</v>
      </c>
      <c r="D218" s="312" t="s">
        <v>155</v>
      </c>
      <c r="E218" s="312" t="s">
        <v>396</v>
      </c>
      <c r="F218" s="312"/>
      <c r="G218" s="317">
        <f>G219</f>
        <v>60</v>
      </c>
      <c r="H218" s="317">
        <f>H219</f>
        <v>60</v>
      </c>
      <c r="I218" s="211"/>
    </row>
    <row r="219" spans="1:9" ht="63" x14ac:dyDescent="0.25">
      <c r="A219" s="259" t="s">
        <v>1217</v>
      </c>
      <c r="B219" s="315">
        <v>903</v>
      </c>
      <c r="C219" s="312" t="s">
        <v>133</v>
      </c>
      <c r="D219" s="312" t="s">
        <v>155</v>
      </c>
      <c r="E219" s="312" t="s">
        <v>931</v>
      </c>
      <c r="F219" s="312"/>
      <c r="G219" s="317">
        <f>G220+G223</f>
        <v>60</v>
      </c>
      <c r="H219" s="317">
        <f>H220+H223</f>
        <v>60</v>
      </c>
      <c r="I219" s="211"/>
    </row>
    <row r="220" spans="1:9" ht="31.5" x14ac:dyDescent="0.25">
      <c r="A220" s="99" t="s">
        <v>1218</v>
      </c>
      <c r="B220" s="314">
        <v>903</v>
      </c>
      <c r="C220" s="324" t="s">
        <v>133</v>
      </c>
      <c r="D220" s="324" t="s">
        <v>155</v>
      </c>
      <c r="E220" s="324" t="s">
        <v>932</v>
      </c>
      <c r="F220" s="324"/>
      <c r="G220" s="321">
        <f>G221</f>
        <v>60</v>
      </c>
      <c r="H220" s="321">
        <f>H221</f>
        <v>60</v>
      </c>
      <c r="I220" s="211"/>
    </row>
    <row r="221" spans="1:9" ht="31.5" x14ac:dyDescent="0.25">
      <c r="A221" s="323" t="s">
        <v>146</v>
      </c>
      <c r="B221" s="314">
        <v>903</v>
      </c>
      <c r="C221" s="324" t="s">
        <v>133</v>
      </c>
      <c r="D221" s="324" t="s">
        <v>155</v>
      </c>
      <c r="E221" s="324" t="s">
        <v>932</v>
      </c>
      <c r="F221" s="324" t="s">
        <v>147</v>
      </c>
      <c r="G221" s="321">
        <f>G222</f>
        <v>60</v>
      </c>
      <c r="H221" s="321">
        <f>H222</f>
        <v>60</v>
      </c>
      <c r="I221" s="211"/>
    </row>
    <row r="222" spans="1:9" ht="31.5" x14ac:dyDescent="0.25">
      <c r="A222" s="323" t="s">
        <v>148</v>
      </c>
      <c r="B222" s="314">
        <v>903</v>
      </c>
      <c r="C222" s="324" t="s">
        <v>133</v>
      </c>
      <c r="D222" s="324" t="s">
        <v>155</v>
      </c>
      <c r="E222" s="324" t="s">
        <v>932</v>
      </c>
      <c r="F222" s="324" t="s">
        <v>149</v>
      </c>
      <c r="G222" s="321">
        <f>60</f>
        <v>60</v>
      </c>
      <c r="H222" s="321">
        <f t="shared" ref="H222:H284" si="16">G222</f>
        <v>60</v>
      </c>
      <c r="I222" s="211"/>
    </row>
    <row r="223" spans="1:9" ht="47.25" hidden="1" x14ac:dyDescent="0.25">
      <c r="A223" s="35" t="s">
        <v>934</v>
      </c>
      <c r="B223" s="314">
        <v>903</v>
      </c>
      <c r="C223" s="316" t="s">
        <v>133</v>
      </c>
      <c r="D223" s="316" t="s">
        <v>155</v>
      </c>
      <c r="E223" s="316" t="s">
        <v>933</v>
      </c>
      <c r="F223" s="319"/>
      <c r="G223" s="321">
        <f>'Пр.4 ведом.20'!G237</f>
        <v>0</v>
      </c>
      <c r="H223" s="321">
        <f t="shared" si="16"/>
        <v>0</v>
      </c>
      <c r="I223" s="211"/>
    </row>
    <row r="224" spans="1:9" ht="31.5" hidden="1" x14ac:dyDescent="0.25">
      <c r="A224" s="320" t="s">
        <v>146</v>
      </c>
      <c r="B224" s="314">
        <v>903</v>
      </c>
      <c r="C224" s="316" t="s">
        <v>133</v>
      </c>
      <c r="D224" s="316" t="s">
        <v>155</v>
      </c>
      <c r="E224" s="316" t="s">
        <v>933</v>
      </c>
      <c r="F224" s="316" t="s">
        <v>147</v>
      </c>
      <c r="G224" s="321">
        <f>'Пр.4 ведом.20'!G238</f>
        <v>0</v>
      </c>
      <c r="H224" s="321">
        <f t="shared" si="16"/>
        <v>0</v>
      </c>
      <c r="I224" s="211"/>
    </row>
    <row r="225" spans="1:9" ht="31.5" hidden="1" x14ac:dyDescent="0.25">
      <c r="A225" s="320" t="s">
        <v>148</v>
      </c>
      <c r="B225" s="314">
        <v>903</v>
      </c>
      <c r="C225" s="316" t="s">
        <v>133</v>
      </c>
      <c r="D225" s="316" t="s">
        <v>155</v>
      </c>
      <c r="E225" s="316" t="s">
        <v>933</v>
      </c>
      <c r="F225" s="316" t="s">
        <v>149</v>
      </c>
      <c r="G225" s="321">
        <f>'Пр.4 ведом.20'!G239</f>
        <v>0</v>
      </c>
      <c r="H225" s="321">
        <f t="shared" si="16"/>
        <v>0</v>
      </c>
      <c r="I225" s="211"/>
    </row>
    <row r="226" spans="1:9" ht="47.25" x14ac:dyDescent="0.25">
      <c r="A226" s="318" t="s">
        <v>1416</v>
      </c>
      <c r="B226" s="315">
        <v>903</v>
      </c>
      <c r="C226" s="319" t="s">
        <v>133</v>
      </c>
      <c r="D226" s="319" t="s">
        <v>155</v>
      </c>
      <c r="E226" s="319" t="s">
        <v>350</v>
      </c>
      <c r="F226" s="319"/>
      <c r="G226" s="317">
        <f>G227</f>
        <v>55</v>
      </c>
      <c r="H226" s="317">
        <f>H227</f>
        <v>55</v>
      </c>
      <c r="I226" s="211"/>
    </row>
    <row r="227" spans="1:9" ht="31.5" x14ac:dyDescent="0.25">
      <c r="A227" s="318" t="s">
        <v>1223</v>
      </c>
      <c r="B227" s="315">
        <v>903</v>
      </c>
      <c r="C227" s="319" t="s">
        <v>133</v>
      </c>
      <c r="D227" s="319" t="s">
        <v>155</v>
      </c>
      <c r="E227" s="319" t="s">
        <v>1224</v>
      </c>
      <c r="F227" s="319"/>
      <c r="G227" s="317">
        <f>G228+G231+G234+G237+G240</f>
        <v>55</v>
      </c>
      <c r="H227" s="317">
        <f>H228+H231+H234+H237+H240</f>
        <v>55</v>
      </c>
      <c r="I227" s="211"/>
    </row>
    <row r="228" spans="1:9" ht="31.5" hidden="1" x14ac:dyDescent="0.25">
      <c r="A228" s="98" t="s">
        <v>351</v>
      </c>
      <c r="B228" s="314">
        <v>903</v>
      </c>
      <c r="C228" s="316" t="s">
        <v>133</v>
      </c>
      <c r="D228" s="316" t="s">
        <v>155</v>
      </c>
      <c r="E228" s="316" t="s">
        <v>1225</v>
      </c>
      <c r="F228" s="316"/>
      <c r="G228" s="321">
        <f>'Пр.4 ведом.20'!G242</f>
        <v>0</v>
      </c>
      <c r="H228" s="321">
        <f t="shared" si="16"/>
        <v>0</v>
      </c>
      <c r="I228" s="211"/>
    </row>
    <row r="229" spans="1:9" ht="31.5" hidden="1" x14ac:dyDescent="0.25">
      <c r="A229" s="320" t="s">
        <v>146</v>
      </c>
      <c r="B229" s="314">
        <v>903</v>
      </c>
      <c r="C229" s="316" t="s">
        <v>133</v>
      </c>
      <c r="D229" s="316" t="s">
        <v>155</v>
      </c>
      <c r="E229" s="316" t="s">
        <v>1225</v>
      </c>
      <c r="F229" s="316" t="s">
        <v>147</v>
      </c>
      <c r="G229" s="321">
        <f>'Пр.4 ведом.20'!G243</f>
        <v>0</v>
      </c>
      <c r="H229" s="321">
        <f t="shared" si="16"/>
        <v>0</v>
      </c>
      <c r="I229" s="211"/>
    </row>
    <row r="230" spans="1:9" ht="31.5" hidden="1" x14ac:dyDescent="0.25">
      <c r="A230" s="320" t="s">
        <v>148</v>
      </c>
      <c r="B230" s="314">
        <v>903</v>
      </c>
      <c r="C230" s="316" t="s">
        <v>133</v>
      </c>
      <c r="D230" s="316" t="s">
        <v>155</v>
      </c>
      <c r="E230" s="316" t="s">
        <v>1225</v>
      </c>
      <c r="F230" s="316" t="s">
        <v>149</v>
      </c>
      <c r="G230" s="321">
        <f>'Пр.4 ведом.20'!G244</f>
        <v>0</v>
      </c>
      <c r="H230" s="321">
        <f t="shared" si="16"/>
        <v>0</v>
      </c>
      <c r="I230" s="211"/>
    </row>
    <row r="231" spans="1:9" ht="31.5" x14ac:dyDescent="0.25">
      <c r="A231" s="320" t="s">
        <v>353</v>
      </c>
      <c r="B231" s="314">
        <v>903</v>
      </c>
      <c r="C231" s="316" t="s">
        <v>133</v>
      </c>
      <c r="D231" s="316" t="s">
        <v>155</v>
      </c>
      <c r="E231" s="316" t="s">
        <v>1226</v>
      </c>
      <c r="F231" s="316"/>
      <c r="G231" s="321">
        <f>G232</f>
        <v>25</v>
      </c>
      <c r="H231" s="321">
        <f t="shared" si="16"/>
        <v>25</v>
      </c>
      <c r="I231" s="211"/>
    </row>
    <row r="232" spans="1:9" ht="31.5" x14ac:dyDescent="0.25">
      <c r="A232" s="320" t="s">
        <v>146</v>
      </c>
      <c r="B232" s="314">
        <v>903</v>
      </c>
      <c r="C232" s="316" t="s">
        <v>133</v>
      </c>
      <c r="D232" s="316" t="s">
        <v>155</v>
      </c>
      <c r="E232" s="316" t="s">
        <v>1226</v>
      </c>
      <c r="F232" s="316" t="s">
        <v>147</v>
      </c>
      <c r="G232" s="321">
        <f>G233</f>
        <v>25</v>
      </c>
      <c r="H232" s="321">
        <f t="shared" si="16"/>
        <v>25</v>
      </c>
      <c r="I232" s="211"/>
    </row>
    <row r="233" spans="1:9" ht="31.5" x14ac:dyDescent="0.25">
      <c r="A233" s="320" t="s">
        <v>148</v>
      </c>
      <c r="B233" s="314">
        <v>903</v>
      </c>
      <c r="C233" s="316" t="s">
        <v>133</v>
      </c>
      <c r="D233" s="316" t="s">
        <v>155</v>
      </c>
      <c r="E233" s="316" t="s">
        <v>1226</v>
      </c>
      <c r="F233" s="316" t="s">
        <v>149</v>
      </c>
      <c r="G233" s="321">
        <f>25</f>
        <v>25</v>
      </c>
      <c r="H233" s="321">
        <f t="shared" si="16"/>
        <v>25</v>
      </c>
      <c r="I233" s="211"/>
    </row>
    <row r="234" spans="1:9" ht="47.25" x14ac:dyDescent="0.25">
      <c r="A234" s="31" t="s">
        <v>792</v>
      </c>
      <c r="B234" s="314">
        <v>903</v>
      </c>
      <c r="C234" s="316" t="s">
        <v>133</v>
      </c>
      <c r="D234" s="316" t="s">
        <v>155</v>
      </c>
      <c r="E234" s="316" t="s">
        <v>1227</v>
      </c>
      <c r="F234" s="316"/>
      <c r="G234" s="321">
        <f>G235</f>
        <v>10</v>
      </c>
      <c r="H234" s="321">
        <f>H235</f>
        <v>10</v>
      </c>
      <c r="I234" s="211"/>
    </row>
    <row r="235" spans="1:9" ht="31.5" x14ac:dyDescent="0.25">
      <c r="A235" s="320" t="s">
        <v>146</v>
      </c>
      <c r="B235" s="314">
        <v>903</v>
      </c>
      <c r="C235" s="316" t="s">
        <v>133</v>
      </c>
      <c r="D235" s="316" t="s">
        <v>155</v>
      </c>
      <c r="E235" s="316" t="s">
        <v>1227</v>
      </c>
      <c r="F235" s="316" t="s">
        <v>147</v>
      </c>
      <c r="G235" s="321">
        <f>G236</f>
        <v>10</v>
      </c>
      <c r="H235" s="321">
        <f>H236</f>
        <v>10</v>
      </c>
      <c r="I235" s="211"/>
    </row>
    <row r="236" spans="1:9" ht="31.5" x14ac:dyDescent="0.25">
      <c r="A236" s="320" t="s">
        <v>148</v>
      </c>
      <c r="B236" s="314">
        <v>903</v>
      </c>
      <c r="C236" s="316" t="s">
        <v>133</v>
      </c>
      <c r="D236" s="316" t="s">
        <v>155</v>
      </c>
      <c r="E236" s="316" t="s">
        <v>1227</v>
      </c>
      <c r="F236" s="316" t="s">
        <v>149</v>
      </c>
      <c r="G236" s="321">
        <f>10</f>
        <v>10</v>
      </c>
      <c r="H236" s="321">
        <f t="shared" si="16"/>
        <v>10</v>
      </c>
      <c r="I236" s="211"/>
    </row>
    <row r="237" spans="1:9" ht="15.75" hidden="1" x14ac:dyDescent="0.25">
      <c r="A237" s="320" t="s">
        <v>1142</v>
      </c>
      <c r="B237" s="314">
        <v>903</v>
      </c>
      <c r="C237" s="316" t="s">
        <v>133</v>
      </c>
      <c r="D237" s="316" t="s">
        <v>155</v>
      </c>
      <c r="E237" s="316" t="s">
        <v>1228</v>
      </c>
      <c r="F237" s="316"/>
      <c r="G237" s="321">
        <f>'Пр.4 ведом.20'!G251</f>
        <v>0</v>
      </c>
      <c r="H237" s="321">
        <f t="shared" si="16"/>
        <v>0</v>
      </c>
      <c r="I237" s="211"/>
    </row>
    <row r="238" spans="1:9" ht="31.5" hidden="1" x14ac:dyDescent="0.25">
      <c r="A238" s="320" t="s">
        <v>146</v>
      </c>
      <c r="B238" s="314">
        <v>903</v>
      </c>
      <c r="C238" s="316" t="s">
        <v>133</v>
      </c>
      <c r="D238" s="316" t="s">
        <v>155</v>
      </c>
      <c r="E238" s="316" t="s">
        <v>1228</v>
      </c>
      <c r="F238" s="316" t="s">
        <v>147</v>
      </c>
      <c r="G238" s="321">
        <f>'Пр.4 ведом.20'!G252</f>
        <v>0</v>
      </c>
      <c r="H238" s="321">
        <f t="shared" si="16"/>
        <v>0</v>
      </c>
      <c r="I238" s="211"/>
    </row>
    <row r="239" spans="1:9" ht="31.5" hidden="1" x14ac:dyDescent="0.25">
      <c r="A239" s="320" t="s">
        <v>148</v>
      </c>
      <c r="B239" s="314">
        <v>903</v>
      </c>
      <c r="C239" s="316" t="s">
        <v>133</v>
      </c>
      <c r="D239" s="316" t="s">
        <v>155</v>
      </c>
      <c r="E239" s="316" t="s">
        <v>1228</v>
      </c>
      <c r="F239" s="316" t="s">
        <v>149</v>
      </c>
      <c r="G239" s="321">
        <f>'Пр.4 ведом.20'!G253</f>
        <v>0</v>
      </c>
      <c r="H239" s="321">
        <f t="shared" si="16"/>
        <v>0</v>
      </c>
      <c r="I239" s="211"/>
    </row>
    <row r="240" spans="1:9" ht="31.5" x14ac:dyDescent="0.25">
      <c r="A240" s="31" t="s">
        <v>793</v>
      </c>
      <c r="B240" s="314">
        <v>903</v>
      </c>
      <c r="C240" s="316" t="s">
        <v>133</v>
      </c>
      <c r="D240" s="316" t="s">
        <v>155</v>
      </c>
      <c r="E240" s="316" t="s">
        <v>1229</v>
      </c>
      <c r="F240" s="316"/>
      <c r="G240" s="321">
        <f>G241</f>
        <v>20</v>
      </c>
      <c r="H240" s="321">
        <f>H241</f>
        <v>20</v>
      </c>
      <c r="I240" s="211"/>
    </row>
    <row r="241" spans="1:9" ht="31.5" x14ac:dyDescent="0.25">
      <c r="A241" s="320" t="s">
        <v>146</v>
      </c>
      <c r="B241" s="314">
        <v>903</v>
      </c>
      <c r="C241" s="316" t="s">
        <v>133</v>
      </c>
      <c r="D241" s="316" t="s">
        <v>155</v>
      </c>
      <c r="E241" s="316" t="s">
        <v>1229</v>
      </c>
      <c r="F241" s="316" t="s">
        <v>147</v>
      </c>
      <c r="G241" s="321">
        <f>G242</f>
        <v>20</v>
      </c>
      <c r="H241" s="321">
        <f>H242</f>
        <v>20</v>
      </c>
      <c r="I241" s="211"/>
    </row>
    <row r="242" spans="1:9" ht="31.5" x14ac:dyDescent="0.25">
      <c r="A242" s="320" t="s">
        <v>148</v>
      </c>
      <c r="B242" s="314">
        <v>903</v>
      </c>
      <c r="C242" s="316" t="s">
        <v>133</v>
      </c>
      <c r="D242" s="316" t="s">
        <v>155</v>
      </c>
      <c r="E242" s="316" t="s">
        <v>1229</v>
      </c>
      <c r="F242" s="316" t="s">
        <v>149</v>
      </c>
      <c r="G242" s="321">
        <f>20</f>
        <v>20</v>
      </c>
      <c r="H242" s="321">
        <f t="shared" si="16"/>
        <v>20</v>
      </c>
      <c r="I242" s="211"/>
    </row>
    <row r="243" spans="1:9" ht="63" x14ac:dyDescent="0.25">
      <c r="A243" s="41" t="s">
        <v>1417</v>
      </c>
      <c r="B243" s="315">
        <v>903</v>
      </c>
      <c r="C243" s="319" t="s">
        <v>133</v>
      </c>
      <c r="D243" s="319" t="s">
        <v>155</v>
      </c>
      <c r="E243" s="319" t="s">
        <v>726</v>
      </c>
      <c r="F243" s="319"/>
      <c r="G243" s="317">
        <f>G245</f>
        <v>5</v>
      </c>
      <c r="H243" s="317">
        <f>H245</f>
        <v>5</v>
      </c>
      <c r="I243" s="211"/>
    </row>
    <row r="244" spans="1:9" ht="47.25" x14ac:dyDescent="0.25">
      <c r="A244" s="216" t="s">
        <v>890</v>
      </c>
      <c r="B244" s="315">
        <v>903</v>
      </c>
      <c r="C244" s="319" t="s">
        <v>133</v>
      </c>
      <c r="D244" s="319" t="s">
        <v>155</v>
      </c>
      <c r="E244" s="319" t="s">
        <v>896</v>
      </c>
      <c r="F244" s="319"/>
      <c r="G244" s="317">
        <f t="shared" ref="G244:H246" si="17">G245</f>
        <v>5</v>
      </c>
      <c r="H244" s="317">
        <f t="shared" si="17"/>
        <v>5</v>
      </c>
      <c r="I244" s="211"/>
    </row>
    <row r="245" spans="1:9" ht="31.5" x14ac:dyDescent="0.25">
      <c r="A245" s="99" t="s">
        <v>797</v>
      </c>
      <c r="B245" s="314">
        <v>903</v>
      </c>
      <c r="C245" s="316" t="s">
        <v>133</v>
      </c>
      <c r="D245" s="316" t="s">
        <v>155</v>
      </c>
      <c r="E245" s="316" t="s">
        <v>891</v>
      </c>
      <c r="F245" s="316"/>
      <c r="G245" s="321">
        <f t="shared" si="17"/>
        <v>5</v>
      </c>
      <c r="H245" s="321">
        <f t="shared" si="17"/>
        <v>5</v>
      </c>
      <c r="I245" s="211"/>
    </row>
    <row r="246" spans="1:9" ht="31.5" x14ac:dyDescent="0.25">
      <c r="A246" s="320" t="s">
        <v>146</v>
      </c>
      <c r="B246" s="314">
        <v>903</v>
      </c>
      <c r="C246" s="316" t="s">
        <v>133</v>
      </c>
      <c r="D246" s="316" t="s">
        <v>155</v>
      </c>
      <c r="E246" s="316" t="s">
        <v>891</v>
      </c>
      <c r="F246" s="316" t="s">
        <v>147</v>
      </c>
      <c r="G246" s="321">
        <f t="shared" si="17"/>
        <v>5</v>
      </c>
      <c r="H246" s="321">
        <f t="shared" si="17"/>
        <v>5</v>
      </c>
      <c r="I246" s="211"/>
    </row>
    <row r="247" spans="1:9" ht="31.5" x14ac:dyDescent="0.25">
      <c r="A247" s="320" t="s">
        <v>148</v>
      </c>
      <c r="B247" s="314">
        <v>903</v>
      </c>
      <c r="C247" s="316" t="s">
        <v>133</v>
      </c>
      <c r="D247" s="316" t="s">
        <v>155</v>
      </c>
      <c r="E247" s="316" t="s">
        <v>891</v>
      </c>
      <c r="F247" s="316" t="s">
        <v>149</v>
      </c>
      <c r="G247" s="321">
        <f>5</f>
        <v>5</v>
      </c>
      <c r="H247" s="321">
        <f t="shared" si="16"/>
        <v>5</v>
      </c>
      <c r="I247" s="211"/>
    </row>
    <row r="248" spans="1:9" ht="15.75" x14ac:dyDescent="0.25">
      <c r="A248" s="222" t="s">
        <v>247</v>
      </c>
      <c r="B248" s="315">
        <v>903</v>
      </c>
      <c r="C248" s="319" t="s">
        <v>165</v>
      </c>
      <c r="D248" s="316"/>
      <c r="E248" s="316"/>
      <c r="F248" s="32"/>
      <c r="G248" s="317">
        <f t="shared" ref="G248:H250" si="18">G249</f>
        <v>570</v>
      </c>
      <c r="H248" s="317">
        <f t="shared" si="18"/>
        <v>448.7</v>
      </c>
      <c r="I248" s="211"/>
    </row>
    <row r="249" spans="1:9" ht="31.5" x14ac:dyDescent="0.25">
      <c r="A249" s="318" t="s">
        <v>252</v>
      </c>
      <c r="B249" s="315">
        <v>903</v>
      </c>
      <c r="C249" s="319" t="s">
        <v>165</v>
      </c>
      <c r="D249" s="319" t="s">
        <v>253</v>
      </c>
      <c r="E249" s="316"/>
      <c r="F249" s="32"/>
      <c r="G249" s="317">
        <f t="shared" si="18"/>
        <v>570</v>
      </c>
      <c r="H249" s="317">
        <f t="shared" si="18"/>
        <v>448.7</v>
      </c>
      <c r="I249" s="211"/>
    </row>
    <row r="250" spans="1:9" ht="47.25" x14ac:dyDescent="0.25">
      <c r="A250" s="318" t="s">
        <v>1415</v>
      </c>
      <c r="B250" s="315">
        <v>903</v>
      </c>
      <c r="C250" s="319" t="s">
        <v>165</v>
      </c>
      <c r="D250" s="319" t="s">
        <v>253</v>
      </c>
      <c r="E250" s="319" t="s">
        <v>359</v>
      </c>
      <c r="F250" s="228"/>
      <c r="G250" s="317">
        <f t="shared" si="18"/>
        <v>570</v>
      </c>
      <c r="H250" s="317">
        <f t="shared" si="18"/>
        <v>448.7</v>
      </c>
      <c r="I250" s="211"/>
    </row>
    <row r="251" spans="1:9" ht="52.5" customHeight="1" x14ac:dyDescent="0.25">
      <c r="A251" s="318" t="s">
        <v>382</v>
      </c>
      <c r="B251" s="315">
        <v>903</v>
      </c>
      <c r="C251" s="319" t="s">
        <v>165</v>
      </c>
      <c r="D251" s="319" t="s">
        <v>253</v>
      </c>
      <c r="E251" s="319" t="s">
        <v>383</v>
      </c>
      <c r="F251" s="319"/>
      <c r="G251" s="317">
        <f>G252+G259+G266+G273</f>
        <v>570</v>
      </c>
      <c r="H251" s="317">
        <f>H252+H259+H266+H273</f>
        <v>448.7</v>
      </c>
      <c r="I251" s="211"/>
    </row>
    <row r="252" spans="1:9" ht="47.25" hidden="1" x14ac:dyDescent="0.25">
      <c r="A252" s="220" t="s">
        <v>1209</v>
      </c>
      <c r="B252" s="315">
        <v>903</v>
      </c>
      <c r="C252" s="319" t="s">
        <v>165</v>
      </c>
      <c r="D252" s="319" t="s">
        <v>253</v>
      </c>
      <c r="E252" s="319" t="s">
        <v>935</v>
      </c>
      <c r="F252" s="319"/>
      <c r="G252" s="317">
        <f>G253+G256</f>
        <v>0</v>
      </c>
      <c r="H252" s="317">
        <f>H253+H256</f>
        <v>0</v>
      </c>
      <c r="I252" s="211"/>
    </row>
    <row r="253" spans="1:9" ht="47.25" hidden="1" x14ac:dyDescent="0.25">
      <c r="A253" s="320" t="s">
        <v>390</v>
      </c>
      <c r="B253" s="314">
        <v>903</v>
      </c>
      <c r="C253" s="316" t="s">
        <v>165</v>
      </c>
      <c r="D253" s="316" t="s">
        <v>253</v>
      </c>
      <c r="E253" s="316" t="s">
        <v>1210</v>
      </c>
      <c r="F253" s="316"/>
      <c r="G253" s="321">
        <f>'Пр.4 ведом.20'!G272</f>
        <v>0</v>
      </c>
      <c r="H253" s="321">
        <f t="shared" si="16"/>
        <v>0</v>
      </c>
      <c r="I253" s="211"/>
    </row>
    <row r="254" spans="1:9" ht="31.5" hidden="1" x14ac:dyDescent="0.25">
      <c r="A254" s="320" t="s">
        <v>263</v>
      </c>
      <c r="B254" s="314">
        <v>903</v>
      </c>
      <c r="C254" s="316" t="s">
        <v>165</v>
      </c>
      <c r="D254" s="316" t="s">
        <v>253</v>
      </c>
      <c r="E254" s="316" t="s">
        <v>1210</v>
      </c>
      <c r="F254" s="316" t="s">
        <v>264</v>
      </c>
      <c r="G254" s="321">
        <f>'Пр.4 ведом.20'!G273</f>
        <v>0</v>
      </c>
      <c r="H254" s="321">
        <f t="shared" si="16"/>
        <v>0</v>
      </c>
      <c r="I254" s="211"/>
    </row>
    <row r="255" spans="1:9" ht="31.5" hidden="1" x14ac:dyDescent="0.25">
      <c r="A255" s="320" t="s">
        <v>265</v>
      </c>
      <c r="B255" s="314">
        <v>903</v>
      </c>
      <c r="C255" s="316" t="s">
        <v>165</v>
      </c>
      <c r="D255" s="316" t="s">
        <v>253</v>
      </c>
      <c r="E255" s="316" t="s">
        <v>1210</v>
      </c>
      <c r="F255" s="316" t="s">
        <v>266</v>
      </c>
      <c r="G255" s="321">
        <f>'Пр.4 ведом.20'!G274</f>
        <v>0</v>
      </c>
      <c r="H255" s="321">
        <f t="shared" si="16"/>
        <v>0</v>
      </c>
      <c r="I255" s="211"/>
    </row>
    <row r="256" spans="1:9" ht="47.25" hidden="1" x14ac:dyDescent="0.25">
      <c r="A256" s="320" t="s">
        <v>390</v>
      </c>
      <c r="B256" s="314">
        <v>903</v>
      </c>
      <c r="C256" s="316" t="s">
        <v>165</v>
      </c>
      <c r="D256" s="316" t="s">
        <v>253</v>
      </c>
      <c r="E256" s="316" t="s">
        <v>1211</v>
      </c>
      <c r="F256" s="316"/>
      <c r="G256" s="321">
        <f>'Пр.4 ведом.20'!G275</f>
        <v>0</v>
      </c>
      <c r="H256" s="321">
        <f t="shared" si="16"/>
        <v>0</v>
      </c>
      <c r="I256" s="211"/>
    </row>
    <row r="257" spans="1:13" ht="31.5" hidden="1" x14ac:dyDescent="0.25">
      <c r="A257" s="320" t="s">
        <v>263</v>
      </c>
      <c r="B257" s="314">
        <v>903</v>
      </c>
      <c r="C257" s="316" t="s">
        <v>165</v>
      </c>
      <c r="D257" s="316" t="s">
        <v>253</v>
      </c>
      <c r="E257" s="316" t="s">
        <v>1211</v>
      </c>
      <c r="F257" s="316" t="s">
        <v>264</v>
      </c>
      <c r="G257" s="321">
        <f>'Пр.4 ведом.20'!G276</f>
        <v>0</v>
      </c>
      <c r="H257" s="321">
        <f t="shared" si="16"/>
        <v>0</v>
      </c>
      <c r="I257" s="211"/>
    </row>
    <row r="258" spans="1:13" ht="31.5" hidden="1" x14ac:dyDescent="0.25">
      <c r="A258" s="320" t="s">
        <v>265</v>
      </c>
      <c r="B258" s="314">
        <v>903</v>
      </c>
      <c r="C258" s="316" t="s">
        <v>165</v>
      </c>
      <c r="D258" s="316" t="s">
        <v>253</v>
      </c>
      <c r="E258" s="316" t="s">
        <v>1211</v>
      </c>
      <c r="F258" s="316" t="s">
        <v>266</v>
      </c>
      <c r="G258" s="321">
        <f>'Пр.4 ведом.20'!G277</f>
        <v>0</v>
      </c>
      <c r="H258" s="321">
        <f t="shared" si="16"/>
        <v>0</v>
      </c>
      <c r="I258" s="211"/>
    </row>
    <row r="259" spans="1:13" ht="31.5" x14ac:dyDescent="0.25">
      <c r="A259" s="318" t="s">
        <v>1207</v>
      </c>
      <c r="B259" s="315">
        <v>903</v>
      </c>
      <c r="C259" s="319" t="s">
        <v>165</v>
      </c>
      <c r="D259" s="319" t="s">
        <v>253</v>
      </c>
      <c r="E259" s="319" t="s">
        <v>936</v>
      </c>
      <c r="F259" s="319"/>
      <c r="G259" s="317">
        <f>G260+G263</f>
        <v>560</v>
      </c>
      <c r="H259" s="317">
        <f>H260+H263</f>
        <v>438.7</v>
      </c>
      <c r="I259" s="211"/>
    </row>
    <row r="260" spans="1:13" ht="31.5" x14ac:dyDescent="0.25">
      <c r="A260" s="320" t="s">
        <v>1208</v>
      </c>
      <c r="B260" s="314">
        <v>903</v>
      </c>
      <c r="C260" s="316" t="s">
        <v>165</v>
      </c>
      <c r="D260" s="316" t="s">
        <v>253</v>
      </c>
      <c r="E260" s="316" t="s">
        <v>1212</v>
      </c>
      <c r="F260" s="316"/>
      <c r="G260" s="321">
        <f>G261</f>
        <v>60</v>
      </c>
      <c r="H260" s="321">
        <f>H261</f>
        <v>60</v>
      </c>
      <c r="I260" s="211"/>
    </row>
    <row r="261" spans="1:13" ht="31.5" x14ac:dyDescent="0.25">
      <c r="A261" s="320" t="s">
        <v>287</v>
      </c>
      <c r="B261" s="314">
        <v>903</v>
      </c>
      <c r="C261" s="316" t="s">
        <v>165</v>
      </c>
      <c r="D261" s="316" t="s">
        <v>253</v>
      </c>
      <c r="E261" s="316" t="s">
        <v>1212</v>
      </c>
      <c r="F261" s="316" t="s">
        <v>288</v>
      </c>
      <c r="G261" s="321">
        <f>G262</f>
        <v>60</v>
      </c>
      <c r="H261" s="321">
        <f>H262</f>
        <v>60</v>
      </c>
      <c r="I261" s="211"/>
      <c r="M261" s="22"/>
    </row>
    <row r="262" spans="1:13" ht="63" x14ac:dyDescent="0.25">
      <c r="A262" s="320" t="s">
        <v>1286</v>
      </c>
      <c r="B262" s="314">
        <v>903</v>
      </c>
      <c r="C262" s="316" t="s">
        <v>165</v>
      </c>
      <c r="D262" s="316" t="s">
        <v>253</v>
      </c>
      <c r="E262" s="316" t="s">
        <v>1212</v>
      </c>
      <c r="F262" s="316" t="s">
        <v>387</v>
      </c>
      <c r="G262" s="321">
        <f>60</f>
        <v>60</v>
      </c>
      <c r="H262" s="321">
        <f t="shared" si="16"/>
        <v>60</v>
      </c>
      <c r="I262" s="211"/>
    </row>
    <row r="263" spans="1:13" ht="110.25" x14ac:dyDescent="0.25">
      <c r="A263" s="320" t="s">
        <v>388</v>
      </c>
      <c r="B263" s="314">
        <v>903</v>
      </c>
      <c r="C263" s="316" t="s">
        <v>165</v>
      </c>
      <c r="D263" s="316" t="s">
        <v>253</v>
      </c>
      <c r="E263" s="316" t="s">
        <v>1213</v>
      </c>
      <c r="F263" s="316"/>
      <c r="G263" s="321">
        <f>G264</f>
        <v>500</v>
      </c>
      <c r="H263" s="321">
        <f>H264</f>
        <v>378.7</v>
      </c>
      <c r="I263" s="211"/>
    </row>
    <row r="264" spans="1:13" ht="31.5" x14ac:dyDescent="0.25">
      <c r="A264" s="320" t="s">
        <v>287</v>
      </c>
      <c r="B264" s="314">
        <v>903</v>
      </c>
      <c r="C264" s="316" t="s">
        <v>165</v>
      </c>
      <c r="D264" s="316" t="s">
        <v>253</v>
      </c>
      <c r="E264" s="316" t="s">
        <v>1213</v>
      </c>
      <c r="F264" s="316" t="s">
        <v>288</v>
      </c>
      <c r="G264" s="321">
        <f>G265</f>
        <v>500</v>
      </c>
      <c r="H264" s="321">
        <f>H265</f>
        <v>378.7</v>
      </c>
      <c r="I264" s="211"/>
    </row>
    <row r="265" spans="1:13" ht="63" x14ac:dyDescent="0.25">
      <c r="A265" s="320" t="s">
        <v>1286</v>
      </c>
      <c r="B265" s="314">
        <v>903</v>
      </c>
      <c r="C265" s="316" t="s">
        <v>165</v>
      </c>
      <c r="D265" s="316" t="s">
        <v>253</v>
      </c>
      <c r="E265" s="316" t="s">
        <v>1213</v>
      </c>
      <c r="F265" s="316" t="s">
        <v>387</v>
      </c>
      <c r="G265" s="321">
        <f>500</f>
        <v>500</v>
      </c>
      <c r="H265" s="321">
        <f>500-121.3</f>
        <v>378.7</v>
      </c>
      <c r="I265" s="211"/>
      <c r="L265" s="305"/>
    </row>
    <row r="266" spans="1:13" ht="31.5" hidden="1" x14ac:dyDescent="0.25">
      <c r="A266" s="318" t="s">
        <v>1143</v>
      </c>
      <c r="B266" s="315">
        <v>903</v>
      </c>
      <c r="C266" s="319" t="s">
        <v>165</v>
      </c>
      <c r="D266" s="319" t="s">
        <v>253</v>
      </c>
      <c r="E266" s="319" t="s">
        <v>937</v>
      </c>
      <c r="F266" s="319"/>
      <c r="G266" s="317">
        <f>G267+G270</f>
        <v>0</v>
      </c>
      <c r="H266" s="317">
        <f>H267+H270</f>
        <v>0</v>
      </c>
      <c r="I266" s="211"/>
    </row>
    <row r="267" spans="1:13" ht="31.5" hidden="1" x14ac:dyDescent="0.25">
      <c r="A267" s="261" t="s">
        <v>1216</v>
      </c>
      <c r="B267" s="314">
        <v>903</v>
      </c>
      <c r="C267" s="316" t="s">
        <v>165</v>
      </c>
      <c r="D267" s="316" t="s">
        <v>253</v>
      </c>
      <c r="E267" s="316" t="s">
        <v>1214</v>
      </c>
      <c r="F267" s="316"/>
      <c r="G267" s="321">
        <f>'Пр.4 ведом.20'!G286</f>
        <v>0</v>
      </c>
      <c r="H267" s="321">
        <f t="shared" si="16"/>
        <v>0</v>
      </c>
      <c r="I267" s="211"/>
    </row>
    <row r="268" spans="1:13" ht="31.5" hidden="1" x14ac:dyDescent="0.25">
      <c r="A268" s="320" t="s">
        <v>146</v>
      </c>
      <c r="B268" s="314">
        <v>903</v>
      </c>
      <c r="C268" s="316" t="s">
        <v>165</v>
      </c>
      <c r="D268" s="316" t="s">
        <v>253</v>
      </c>
      <c r="E268" s="316" t="s">
        <v>1214</v>
      </c>
      <c r="F268" s="316" t="s">
        <v>147</v>
      </c>
      <c r="G268" s="321">
        <f>'Пр.4 ведом.20'!G287</f>
        <v>0</v>
      </c>
      <c r="H268" s="321">
        <f t="shared" si="16"/>
        <v>0</v>
      </c>
      <c r="I268" s="211"/>
    </row>
    <row r="269" spans="1:13" ht="31.5" hidden="1" x14ac:dyDescent="0.25">
      <c r="A269" s="320" t="s">
        <v>148</v>
      </c>
      <c r="B269" s="314">
        <v>903</v>
      </c>
      <c r="C269" s="316" t="s">
        <v>165</v>
      </c>
      <c r="D269" s="316" t="s">
        <v>253</v>
      </c>
      <c r="E269" s="316" t="s">
        <v>1214</v>
      </c>
      <c r="F269" s="316" t="s">
        <v>149</v>
      </c>
      <c r="G269" s="321">
        <f>'Пр.4 ведом.20'!G288</f>
        <v>0</v>
      </c>
      <c r="H269" s="321">
        <f t="shared" si="16"/>
        <v>0</v>
      </c>
      <c r="I269" s="211"/>
    </row>
    <row r="270" spans="1:13" ht="31.5" hidden="1" x14ac:dyDescent="0.25">
      <c r="A270" s="320" t="s">
        <v>392</v>
      </c>
      <c r="B270" s="314">
        <v>903</v>
      </c>
      <c r="C270" s="316" t="s">
        <v>165</v>
      </c>
      <c r="D270" s="316" t="s">
        <v>253</v>
      </c>
      <c r="E270" s="316" t="s">
        <v>1215</v>
      </c>
      <c r="F270" s="316"/>
      <c r="G270" s="321">
        <f>'Пр.4 ведом.20'!G289</f>
        <v>0</v>
      </c>
      <c r="H270" s="321">
        <f t="shared" si="16"/>
        <v>0</v>
      </c>
      <c r="I270" s="211"/>
    </row>
    <row r="271" spans="1:13" ht="31.5" hidden="1" x14ac:dyDescent="0.25">
      <c r="A271" s="320" t="s">
        <v>146</v>
      </c>
      <c r="B271" s="314">
        <v>903</v>
      </c>
      <c r="C271" s="316" t="s">
        <v>165</v>
      </c>
      <c r="D271" s="316" t="s">
        <v>253</v>
      </c>
      <c r="E271" s="316" t="s">
        <v>1215</v>
      </c>
      <c r="F271" s="316" t="s">
        <v>147</v>
      </c>
      <c r="G271" s="321">
        <f>'Пр.4 ведом.20'!G290</f>
        <v>0</v>
      </c>
      <c r="H271" s="321">
        <f t="shared" si="16"/>
        <v>0</v>
      </c>
      <c r="I271" s="211"/>
    </row>
    <row r="272" spans="1:13" ht="31.5" hidden="1" x14ac:dyDescent="0.25">
      <c r="A272" s="320" t="s">
        <v>148</v>
      </c>
      <c r="B272" s="314">
        <v>903</v>
      </c>
      <c r="C272" s="316" t="s">
        <v>165</v>
      </c>
      <c r="D272" s="316" t="s">
        <v>253</v>
      </c>
      <c r="E272" s="316" t="s">
        <v>1215</v>
      </c>
      <c r="F272" s="316" t="s">
        <v>149</v>
      </c>
      <c r="G272" s="321">
        <f>'Пр.4 ведом.20'!G291</f>
        <v>0</v>
      </c>
      <c r="H272" s="321">
        <f t="shared" si="16"/>
        <v>0</v>
      </c>
      <c r="I272" s="211"/>
    </row>
    <row r="273" spans="1:9" s="210" customFormat="1" ht="31.5" x14ac:dyDescent="0.25">
      <c r="A273" s="217" t="s">
        <v>1304</v>
      </c>
      <c r="B273" s="315">
        <v>903</v>
      </c>
      <c r="C273" s="319" t="s">
        <v>165</v>
      </c>
      <c r="D273" s="319" t="s">
        <v>253</v>
      </c>
      <c r="E273" s="319" t="s">
        <v>1303</v>
      </c>
      <c r="F273" s="319"/>
      <c r="G273" s="317">
        <f t="shared" ref="G273:H275" si="19">G274</f>
        <v>10</v>
      </c>
      <c r="H273" s="317">
        <f t="shared" si="19"/>
        <v>10</v>
      </c>
      <c r="I273" s="211"/>
    </row>
    <row r="274" spans="1:9" s="210" customFormat="1" ht="31.5" x14ac:dyDescent="0.25">
      <c r="A274" s="239" t="s">
        <v>1305</v>
      </c>
      <c r="B274" s="314">
        <v>903</v>
      </c>
      <c r="C274" s="316" t="s">
        <v>165</v>
      </c>
      <c r="D274" s="316" t="s">
        <v>253</v>
      </c>
      <c r="E274" s="316" t="s">
        <v>1352</v>
      </c>
      <c r="F274" s="316"/>
      <c r="G274" s="321">
        <f t="shared" si="19"/>
        <v>10</v>
      </c>
      <c r="H274" s="321">
        <f t="shared" si="19"/>
        <v>10</v>
      </c>
      <c r="I274" s="211"/>
    </row>
    <row r="275" spans="1:9" s="210" customFormat="1" ht="31.5" x14ac:dyDescent="0.25">
      <c r="A275" s="320" t="s">
        <v>146</v>
      </c>
      <c r="B275" s="314">
        <v>903</v>
      </c>
      <c r="C275" s="316" t="s">
        <v>165</v>
      </c>
      <c r="D275" s="316" t="s">
        <v>253</v>
      </c>
      <c r="E275" s="316" t="s">
        <v>1352</v>
      </c>
      <c r="F275" s="316" t="s">
        <v>147</v>
      </c>
      <c r="G275" s="321">
        <f t="shared" si="19"/>
        <v>10</v>
      </c>
      <c r="H275" s="321">
        <f t="shared" si="19"/>
        <v>10</v>
      </c>
      <c r="I275" s="211"/>
    </row>
    <row r="276" spans="1:9" s="210" customFormat="1" ht="31.5" x14ac:dyDescent="0.25">
      <c r="A276" s="320" t="s">
        <v>148</v>
      </c>
      <c r="B276" s="314">
        <v>903</v>
      </c>
      <c r="C276" s="316" t="s">
        <v>165</v>
      </c>
      <c r="D276" s="316" t="s">
        <v>253</v>
      </c>
      <c r="E276" s="316" t="s">
        <v>1352</v>
      </c>
      <c r="F276" s="316" t="s">
        <v>149</v>
      </c>
      <c r="G276" s="321">
        <f>10</f>
        <v>10</v>
      </c>
      <c r="H276" s="321">
        <f>G276</f>
        <v>10</v>
      </c>
      <c r="I276" s="211"/>
    </row>
    <row r="277" spans="1:9" ht="15.75" x14ac:dyDescent="0.25">
      <c r="A277" s="318" t="s">
        <v>278</v>
      </c>
      <c r="B277" s="315">
        <v>903</v>
      </c>
      <c r="C277" s="319" t="s">
        <v>279</v>
      </c>
      <c r="D277" s="316"/>
      <c r="E277" s="316"/>
      <c r="F277" s="316"/>
      <c r="G277" s="317">
        <f>G278+G321</f>
        <v>17624.7</v>
      </c>
      <c r="H277" s="317">
        <f>H278+H321</f>
        <v>17624.7</v>
      </c>
      <c r="I277" s="211"/>
    </row>
    <row r="278" spans="1:9" ht="15.75" x14ac:dyDescent="0.25">
      <c r="A278" s="318" t="s">
        <v>280</v>
      </c>
      <c r="B278" s="315">
        <v>903</v>
      </c>
      <c r="C278" s="319" t="s">
        <v>279</v>
      </c>
      <c r="D278" s="319" t="s">
        <v>230</v>
      </c>
      <c r="E278" s="319"/>
      <c r="F278" s="319"/>
      <c r="G278" s="317">
        <f>G279+G316</f>
        <v>16864.7</v>
      </c>
      <c r="H278" s="317">
        <f>H279+H316</f>
        <v>16864.7</v>
      </c>
      <c r="I278" s="211"/>
    </row>
    <row r="279" spans="1:9" ht="47.25" x14ac:dyDescent="0.25">
      <c r="A279" s="318" t="s">
        <v>1418</v>
      </c>
      <c r="B279" s="315">
        <v>903</v>
      </c>
      <c r="C279" s="319" t="s">
        <v>279</v>
      </c>
      <c r="D279" s="319" t="s">
        <v>230</v>
      </c>
      <c r="E279" s="319" t="s">
        <v>282</v>
      </c>
      <c r="F279" s="319"/>
      <c r="G279" s="317">
        <f>G280</f>
        <v>16643.7</v>
      </c>
      <c r="H279" s="317">
        <f>H280</f>
        <v>16643.7</v>
      </c>
      <c r="I279" s="211"/>
    </row>
    <row r="280" spans="1:9" ht="47.25" x14ac:dyDescent="0.25">
      <c r="A280" s="318" t="s">
        <v>283</v>
      </c>
      <c r="B280" s="315">
        <v>903</v>
      </c>
      <c r="C280" s="319" t="s">
        <v>279</v>
      </c>
      <c r="D280" s="319" t="s">
        <v>230</v>
      </c>
      <c r="E280" s="319" t="s">
        <v>284</v>
      </c>
      <c r="F280" s="319"/>
      <c r="G280" s="317">
        <f>G281+G289+G293+G303+G299</f>
        <v>16643.7</v>
      </c>
      <c r="H280" s="317">
        <f>H281+H289+H293+H303+H299</f>
        <v>16643.7</v>
      </c>
      <c r="I280" s="211"/>
    </row>
    <row r="281" spans="1:9" ht="36" customHeight="1" x14ac:dyDescent="0.25">
      <c r="A281" s="318" t="s">
        <v>939</v>
      </c>
      <c r="B281" s="315">
        <v>903</v>
      </c>
      <c r="C281" s="319" t="s">
        <v>279</v>
      </c>
      <c r="D281" s="319" t="s">
        <v>230</v>
      </c>
      <c r="E281" s="319" t="s">
        <v>940</v>
      </c>
      <c r="F281" s="319"/>
      <c r="G281" s="44">
        <f>G282</f>
        <v>15011</v>
      </c>
      <c r="H281" s="44">
        <f>H282</f>
        <v>15011</v>
      </c>
      <c r="I281" s="211"/>
    </row>
    <row r="282" spans="1:9" ht="15.75" x14ac:dyDescent="0.25">
      <c r="A282" s="320" t="s">
        <v>830</v>
      </c>
      <c r="B282" s="314">
        <v>903</v>
      </c>
      <c r="C282" s="316" t="s">
        <v>279</v>
      </c>
      <c r="D282" s="316" t="s">
        <v>230</v>
      </c>
      <c r="E282" s="316" t="s">
        <v>938</v>
      </c>
      <c r="F282" s="316"/>
      <c r="G282" s="321">
        <f>G283+G285+G288</f>
        <v>15011</v>
      </c>
      <c r="H282" s="321">
        <f>H283+H285+H288</f>
        <v>15011</v>
      </c>
      <c r="I282" s="211"/>
    </row>
    <row r="283" spans="1:9" ht="78.75" x14ac:dyDescent="0.25">
      <c r="A283" s="320" t="s">
        <v>142</v>
      </c>
      <c r="B283" s="314">
        <v>903</v>
      </c>
      <c r="C283" s="316" t="s">
        <v>279</v>
      </c>
      <c r="D283" s="316" t="s">
        <v>230</v>
      </c>
      <c r="E283" s="316" t="s">
        <v>938</v>
      </c>
      <c r="F283" s="316" t="s">
        <v>143</v>
      </c>
      <c r="G283" s="321">
        <f>G284</f>
        <v>13393</v>
      </c>
      <c r="H283" s="321">
        <f>H284</f>
        <v>13393</v>
      </c>
      <c r="I283" s="211"/>
    </row>
    <row r="284" spans="1:9" ht="21.2" customHeight="1" x14ac:dyDescent="0.25">
      <c r="A284" s="46" t="s">
        <v>357</v>
      </c>
      <c r="B284" s="314">
        <v>903</v>
      </c>
      <c r="C284" s="316" t="s">
        <v>279</v>
      </c>
      <c r="D284" s="316" t="s">
        <v>230</v>
      </c>
      <c r="E284" s="316" t="s">
        <v>938</v>
      </c>
      <c r="F284" s="316" t="s">
        <v>224</v>
      </c>
      <c r="G284" s="321">
        <f>13393</f>
        <v>13393</v>
      </c>
      <c r="H284" s="321">
        <f t="shared" si="16"/>
        <v>13393</v>
      </c>
      <c r="I284" s="211"/>
    </row>
    <row r="285" spans="1:9" ht="31.5" x14ac:dyDescent="0.25">
      <c r="A285" s="320" t="s">
        <v>146</v>
      </c>
      <c r="B285" s="314">
        <v>903</v>
      </c>
      <c r="C285" s="316" t="s">
        <v>279</v>
      </c>
      <c r="D285" s="316" t="s">
        <v>230</v>
      </c>
      <c r="E285" s="316" t="s">
        <v>938</v>
      </c>
      <c r="F285" s="316" t="s">
        <v>147</v>
      </c>
      <c r="G285" s="321">
        <f>G286</f>
        <v>1540</v>
      </c>
      <c r="H285" s="321">
        <f>H286</f>
        <v>1540</v>
      </c>
      <c r="I285" s="211"/>
    </row>
    <row r="286" spans="1:9" ht="31.5" x14ac:dyDescent="0.25">
      <c r="A286" s="320" t="s">
        <v>148</v>
      </c>
      <c r="B286" s="314">
        <v>903</v>
      </c>
      <c r="C286" s="316" t="s">
        <v>279</v>
      </c>
      <c r="D286" s="316" t="s">
        <v>230</v>
      </c>
      <c r="E286" s="316" t="s">
        <v>938</v>
      </c>
      <c r="F286" s="316" t="s">
        <v>149</v>
      </c>
      <c r="G286" s="321">
        <f>1540</f>
        <v>1540</v>
      </c>
      <c r="H286" s="321">
        <f t="shared" ref="H286:H350" si="20">G286</f>
        <v>1540</v>
      </c>
      <c r="I286" s="211"/>
    </row>
    <row r="287" spans="1:9" ht="15.75" x14ac:dyDescent="0.25">
      <c r="A287" s="320" t="s">
        <v>150</v>
      </c>
      <c r="B287" s="314">
        <v>903</v>
      </c>
      <c r="C287" s="316" t="s">
        <v>279</v>
      </c>
      <c r="D287" s="316" t="s">
        <v>230</v>
      </c>
      <c r="E287" s="316" t="s">
        <v>938</v>
      </c>
      <c r="F287" s="316" t="s">
        <v>160</v>
      </c>
      <c r="G287" s="321">
        <f>G288</f>
        <v>78</v>
      </c>
      <c r="H287" s="321">
        <f>H288</f>
        <v>78</v>
      </c>
      <c r="I287" s="211"/>
    </row>
    <row r="288" spans="1:9" ht="15.75" x14ac:dyDescent="0.25">
      <c r="A288" s="320" t="s">
        <v>725</v>
      </c>
      <c r="B288" s="314">
        <v>903</v>
      </c>
      <c r="C288" s="316" t="s">
        <v>279</v>
      </c>
      <c r="D288" s="316" t="s">
        <v>230</v>
      </c>
      <c r="E288" s="316" t="s">
        <v>938</v>
      </c>
      <c r="F288" s="316" t="s">
        <v>153</v>
      </c>
      <c r="G288" s="321">
        <f>78</f>
        <v>78</v>
      </c>
      <c r="H288" s="321">
        <f t="shared" si="20"/>
        <v>78</v>
      </c>
      <c r="I288" s="211"/>
    </row>
    <row r="289" spans="1:9" ht="47.25" x14ac:dyDescent="0.25">
      <c r="A289" s="221" t="s">
        <v>1187</v>
      </c>
      <c r="B289" s="315">
        <v>903</v>
      </c>
      <c r="C289" s="319" t="s">
        <v>279</v>
      </c>
      <c r="D289" s="319" t="s">
        <v>230</v>
      </c>
      <c r="E289" s="319" t="s">
        <v>942</v>
      </c>
      <c r="F289" s="319"/>
      <c r="G289" s="44">
        <f t="shared" ref="G289:H291" si="21">G290</f>
        <v>45</v>
      </c>
      <c r="H289" s="44">
        <f t="shared" si="21"/>
        <v>45</v>
      </c>
      <c r="I289" s="211"/>
    </row>
    <row r="290" spans="1:9" ht="31.5" x14ac:dyDescent="0.25">
      <c r="A290" s="207" t="s">
        <v>829</v>
      </c>
      <c r="B290" s="314">
        <v>903</v>
      </c>
      <c r="C290" s="316" t="s">
        <v>279</v>
      </c>
      <c r="D290" s="316" t="s">
        <v>230</v>
      </c>
      <c r="E290" s="316" t="s">
        <v>941</v>
      </c>
      <c r="F290" s="316"/>
      <c r="G290" s="321">
        <f t="shared" si="21"/>
        <v>45</v>
      </c>
      <c r="H290" s="321">
        <f t="shared" si="21"/>
        <v>45</v>
      </c>
      <c r="I290" s="211"/>
    </row>
    <row r="291" spans="1:9" ht="20.25" customHeight="1" x14ac:dyDescent="0.25">
      <c r="A291" s="320" t="s">
        <v>263</v>
      </c>
      <c r="B291" s="314">
        <v>903</v>
      </c>
      <c r="C291" s="316" t="s">
        <v>279</v>
      </c>
      <c r="D291" s="316" t="s">
        <v>230</v>
      </c>
      <c r="E291" s="316" t="s">
        <v>941</v>
      </c>
      <c r="F291" s="316" t="s">
        <v>264</v>
      </c>
      <c r="G291" s="321">
        <f t="shared" si="21"/>
        <v>45</v>
      </c>
      <c r="H291" s="321">
        <f t="shared" si="21"/>
        <v>45</v>
      </c>
      <c r="I291" s="211"/>
    </row>
    <row r="292" spans="1:9" ht="15.75" x14ac:dyDescent="0.25">
      <c r="A292" s="320" t="s">
        <v>863</v>
      </c>
      <c r="B292" s="314">
        <v>903</v>
      </c>
      <c r="C292" s="316" t="s">
        <v>279</v>
      </c>
      <c r="D292" s="316" t="s">
        <v>230</v>
      </c>
      <c r="E292" s="316" t="s">
        <v>941</v>
      </c>
      <c r="F292" s="316" t="s">
        <v>862</v>
      </c>
      <c r="G292" s="321">
        <f>45</f>
        <v>45</v>
      </c>
      <c r="H292" s="321">
        <f t="shared" si="20"/>
        <v>45</v>
      </c>
      <c r="I292" s="211"/>
    </row>
    <row r="293" spans="1:9" ht="47.25" x14ac:dyDescent="0.25">
      <c r="A293" s="226" t="s">
        <v>1166</v>
      </c>
      <c r="B293" s="315">
        <v>903</v>
      </c>
      <c r="C293" s="319" t="s">
        <v>279</v>
      </c>
      <c r="D293" s="319" t="s">
        <v>230</v>
      </c>
      <c r="E293" s="319" t="s">
        <v>943</v>
      </c>
      <c r="F293" s="319"/>
      <c r="G293" s="317">
        <f t="shared" ref="G293:H295" si="22">G294</f>
        <v>250</v>
      </c>
      <c r="H293" s="317">
        <f t="shared" si="22"/>
        <v>250</v>
      </c>
      <c r="I293" s="211"/>
    </row>
    <row r="294" spans="1:9" ht="31.5" x14ac:dyDescent="0.25">
      <c r="A294" s="31" t="s">
        <v>858</v>
      </c>
      <c r="B294" s="314">
        <v>903</v>
      </c>
      <c r="C294" s="316" t="s">
        <v>279</v>
      </c>
      <c r="D294" s="316" t="s">
        <v>230</v>
      </c>
      <c r="E294" s="316" t="s">
        <v>944</v>
      </c>
      <c r="F294" s="316"/>
      <c r="G294" s="321">
        <f t="shared" si="22"/>
        <v>250</v>
      </c>
      <c r="H294" s="321">
        <f t="shared" si="22"/>
        <v>250</v>
      </c>
      <c r="I294" s="211"/>
    </row>
    <row r="295" spans="1:9" ht="78.75" x14ac:dyDescent="0.25">
      <c r="A295" s="320" t="s">
        <v>142</v>
      </c>
      <c r="B295" s="314">
        <v>903</v>
      </c>
      <c r="C295" s="316" t="s">
        <v>279</v>
      </c>
      <c r="D295" s="316" t="s">
        <v>230</v>
      </c>
      <c r="E295" s="316" t="s">
        <v>944</v>
      </c>
      <c r="F295" s="316" t="s">
        <v>143</v>
      </c>
      <c r="G295" s="321">
        <f t="shared" si="22"/>
        <v>250</v>
      </c>
      <c r="H295" s="321">
        <f t="shared" si="22"/>
        <v>250</v>
      </c>
      <c r="I295" s="211"/>
    </row>
    <row r="296" spans="1:9" ht="24" customHeight="1" x14ac:dyDescent="0.25">
      <c r="A296" s="46" t="s">
        <v>357</v>
      </c>
      <c r="B296" s="314">
        <v>903</v>
      </c>
      <c r="C296" s="316" t="s">
        <v>279</v>
      </c>
      <c r="D296" s="316" t="s">
        <v>230</v>
      </c>
      <c r="E296" s="316" t="s">
        <v>944</v>
      </c>
      <c r="F296" s="316" t="s">
        <v>224</v>
      </c>
      <c r="G296" s="321">
        <f>250</f>
        <v>250</v>
      </c>
      <c r="H296" s="321">
        <f t="shared" si="20"/>
        <v>250</v>
      </c>
      <c r="I296" s="211"/>
    </row>
    <row r="297" spans="1:9" ht="31.5" hidden="1" x14ac:dyDescent="0.25">
      <c r="A297" s="320" t="s">
        <v>146</v>
      </c>
      <c r="B297" s="314">
        <v>903</v>
      </c>
      <c r="C297" s="316" t="s">
        <v>279</v>
      </c>
      <c r="D297" s="316" t="s">
        <v>230</v>
      </c>
      <c r="E297" s="316" t="s">
        <v>944</v>
      </c>
      <c r="F297" s="316" t="s">
        <v>147</v>
      </c>
      <c r="G297" s="321">
        <f>'Пр.4 ведом.20'!G316</f>
        <v>0</v>
      </c>
      <c r="H297" s="321">
        <f t="shared" si="20"/>
        <v>0</v>
      </c>
      <c r="I297" s="211"/>
    </row>
    <row r="298" spans="1:9" ht="31.5" hidden="1" x14ac:dyDescent="0.25">
      <c r="A298" s="320" t="s">
        <v>148</v>
      </c>
      <c r="B298" s="314">
        <v>903</v>
      </c>
      <c r="C298" s="316" t="s">
        <v>279</v>
      </c>
      <c r="D298" s="316" t="s">
        <v>230</v>
      </c>
      <c r="E298" s="316" t="s">
        <v>944</v>
      </c>
      <c r="F298" s="316" t="s">
        <v>149</v>
      </c>
      <c r="G298" s="321">
        <f>'Пр.4 ведом.20'!G317</f>
        <v>0</v>
      </c>
      <c r="H298" s="321">
        <f t="shared" si="20"/>
        <v>0</v>
      </c>
      <c r="I298" s="211"/>
    </row>
    <row r="299" spans="1:9" ht="31.5" x14ac:dyDescent="0.25">
      <c r="A299" s="318" t="s">
        <v>1074</v>
      </c>
      <c r="B299" s="315">
        <v>903</v>
      </c>
      <c r="C299" s="319" t="s">
        <v>279</v>
      </c>
      <c r="D299" s="319" t="s">
        <v>230</v>
      </c>
      <c r="E299" s="319" t="s">
        <v>949</v>
      </c>
      <c r="F299" s="319"/>
      <c r="G299" s="44">
        <f t="shared" ref="G299:H301" si="23">G300</f>
        <v>336</v>
      </c>
      <c r="H299" s="44">
        <f t="shared" si="23"/>
        <v>336</v>
      </c>
      <c r="I299" s="211"/>
    </row>
    <row r="300" spans="1:9" ht="47.25" x14ac:dyDescent="0.25">
      <c r="A300" s="320" t="s">
        <v>883</v>
      </c>
      <c r="B300" s="314">
        <v>903</v>
      </c>
      <c r="C300" s="316" t="s">
        <v>279</v>
      </c>
      <c r="D300" s="316" t="s">
        <v>230</v>
      </c>
      <c r="E300" s="316" t="s">
        <v>1261</v>
      </c>
      <c r="F300" s="316"/>
      <c r="G300" s="321">
        <f t="shared" si="23"/>
        <v>336</v>
      </c>
      <c r="H300" s="321">
        <f t="shared" si="23"/>
        <v>336</v>
      </c>
      <c r="I300" s="211"/>
    </row>
    <row r="301" spans="1:9" ht="78.75" x14ac:dyDescent="0.25">
      <c r="A301" s="320" t="s">
        <v>142</v>
      </c>
      <c r="B301" s="314">
        <v>903</v>
      </c>
      <c r="C301" s="316" t="s">
        <v>279</v>
      </c>
      <c r="D301" s="316" t="s">
        <v>230</v>
      </c>
      <c r="E301" s="316" t="s">
        <v>1261</v>
      </c>
      <c r="F301" s="316" t="s">
        <v>143</v>
      </c>
      <c r="G301" s="321">
        <f t="shared" si="23"/>
        <v>336</v>
      </c>
      <c r="H301" s="321">
        <f t="shared" si="23"/>
        <v>336</v>
      </c>
      <c r="I301" s="211"/>
    </row>
    <row r="302" spans="1:9" ht="31.5" x14ac:dyDescent="0.25">
      <c r="A302" s="320" t="s">
        <v>357</v>
      </c>
      <c r="B302" s="314">
        <v>903</v>
      </c>
      <c r="C302" s="316" t="s">
        <v>279</v>
      </c>
      <c r="D302" s="316" t="s">
        <v>230</v>
      </c>
      <c r="E302" s="316" t="s">
        <v>1261</v>
      </c>
      <c r="F302" s="316" t="s">
        <v>224</v>
      </c>
      <c r="G302" s="321">
        <f>336</f>
        <v>336</v>
      </c>
      <c r="H302" s="321">
        <f t="shared" si="20"/>
        <v>336</v>
      </c>
      <c r="I302" s="211"/>
    </row>
    <row r="303" spans="1:9" ht="47.25" x14ac:dyDescent="0.25">
      <c r="A303" s="318" t="s">
        <v>969</v>
      </c>
      <c r="B303" s="315">
        <v>903</v>
      </c>
      <c r="C303" s="319" t="s">
        <v>279</v>
      </c>
      <c r="D303" s="319" t="s">
        <v>230</v>
      </c>
      <c r="E303" s="319" t="s">
        <v>1262</v>
      </c>
      <c r="F303" s="319"/>
      <c r="G303" s="44">
        <f>G307+G310+G313+G304</f>
        <v>1001.7</v>
      </c>
      <c r="H303" s="44">
        <f>H307+H310+H313+H304</f>
        <v>1001.7</v>
      </c>
      <c r="I303" s="211"/>
    </row>
    <row r="304" spans="1:9" s="309" customFormat="1" ht="94.5" x14ac:dyDescent="0.25">
      <c r="A304" s="31" t="s">
        <v>308</v>
      </c>
      <c r="B304" s="314">
        <v>903</v>
      </c>
      <c r="C304" s="316" t="s">
        <v>279</v>
      </c>
      <c r="D304" s="316" t="s">
        <v>230</v>
      </c>
      <c r="E304" s="316" t="s">
        <v>1508</v>
      </c>
      <c r="F304" s="316"/>
      <c r="G304" s="322">
        <f>G305</f>
        <v>602.5</v>
      </c>
      <c r="H304" s="322">
        <f>H305</f>
        <v>602.5</v>
      </c>
      <c r="I304" s="310"/>
    </row>
    <row r="305" spans="1:9" s="309" customFormat="1" ht="78.75" x14ac:dyDescent="0.25">
      <c r="A305" s="320" t="s">
        <v>142</v>
      </c>
      <c r="B305" s="314">
        <v>903</v>
      </c>
      <c r="C305" s="316" t="s">
        <v>279</v>
      </c>
      <c r="D305" s="316" t="s">
        <v>230</v>
      </c>
      <c r="E305" s="316" t="s">
        <v>1508</v>
      </c>
      <c r="F305" s="316" t="s">
        <v>143</v>
      </c>
      <c r="G305" s="322">
        <f>G306</f>
        <v>602.5</v>
      </c>
      <c r="H305" s="322">
        <f>H306</f>
        <v>602.5</v>
      </c>
      <c r="I305" s="310"/>
    </row>
    <row r="306" spans="1:9" s="309" customFormat="1" ht="31.5" x14ac:dyDescent="0.25">
      <c r="A306" s="46" t="s">
        <v>357</v>
      </c>
      <c r="B306" s="314">
        <v>903</v>
      </c>
      <c r="C306" s="316" t="s">
        <v>279</v>
      </c>
      <c r="D306" s="316" t="s">
        <v>230</v>
      </c>
      <c r="E306" s="316" t="s">
        <v>1508</v>
      </c>
      <c r="F306" s="316" t="s">
        <v>224</v>
      </c>
      <c r="G306" s="322">
        <v>602.5</v>
      </c>
      <c r="H306" s="322">
        <v>602.5</v>
      </c>
      <c r="I306" s="310"/>
    </row>
    <row r="307" spans="1:9" ht="63" x14ac:dyDescent="0.25">
      <c r="A307" s="31" t="s">
        <v>304</v>
      </c>
      <c r="B307" s="314">
        <v>903</v>
      </c>
      <c r="C307" s="316" t="s">
        <v>279</v>
      </c>
      <c r="D307" s="316" t="s">
        <v>230</v>
      </c>
      <c r="E307" s="316" t="s">
        <v>1263</v>
      </c>
      <c r="F307" s="316"/>
      <c r="G307" s="321">
        <f>G308</f>
        <v>100.8</v>
      </c>
      <c r="H307" s="321">
        <f>H308</f>
        <v>100.8</v>
      </c>
      <c r="I307" s="211"/>
    </row>
    <row r="308" spans="1:9" ht="78.75" x14ac:dyDescent="0.25">
      <c r="A308" s="320" t="s">
        <v>142</v>
      </c>
      <c r="B308" s="314">
        <v>903</v>
      </c>
      <c r="C308" s="316" t="s">
        <v>279</v>
      </c>
      <c r="D308" s="316" t="s">
        <v>230</v>
      </c>
      <c r="E308" s="316" t="s">
        <v>1263</v>
      </c>
      <c r="F308" s="316" t="s">
        <v>143</v>
      </c>
      <c r="G308" s="321">
        <f>G309</f>
        <v>100.8</v>
      </c>
      <c r="H308" s="321">
        <f>H309</f>
        <v>100.8</v>
      </c>
      <c r="I308" s="211"/>
    </row>
    <row r="309" spans="1:9" ht="31.5" x14ac:dyDescent="0.25">
      <c r="A309" s="46" t="s">
        <v>357</v>
      </c>
      <c r="B309" s="314">
        <v>903</v>
      </c>
      <c r="C309" s="316" t="s">
        <v>279</v>
      </c>
      <c r="D309" s="316" t="s">
        <v>230</v>
      </c>
      <c r="E309" s="316" t="s">
        <v>1263</v>
      </c>
      <c r="F309" s="316" t="s">
        <v>224</v>
      </c>
      <c r="G309" s="321">
        <f>100.8</f>
        <v>100.8</v>
      </c>
      <c r="H309" s="321">
        <f t="shared" si="20"/>
        <v>100.8</v>
      </c>
      <c r="I309" s="211"/>
    </row>
    <row r="310" spans="1:9" ht="63" x14ac:dyDescent="0.25">
      <c r="A310" s="31" t="s">
        <v>306</v>
      </c>
      <c r="B310" s="314">
        <v>903</v>
      </c>
      <c r="C310" s="316" t="s">
        <v>279</v>
      </c>
      <c r="D310" s="316" t="s">
        <v>230</v>
      </c>
      <c r="E310" s="316" t="s">
        <v>1264</v>
      </c>
      <c r="F310" s="316"/>
      <c r="G310" s="321">
        <f>G311</f>
        <v>298.39999999999998</v>
      </c>
      <c r="H310" s="321">
        <f t="shared" si="20"/>
        <v>298.39999999999998</v>
      </c>
      <c r="I310" s="211"/>
    </row>
    <row r="311" spans="1:9" ht="78.75" x14ac:dyDescent="0.25">
      <c r="A311" s="320" t="s">
        <v>142</v>
      </c>
      <c r="B311" s="314">
        <v>903</v>
      </c>
      <c r="C311" s="316" t="s">
        <v>279</v>
      </c>
      <c r="D311" s="316" t="s">
        <v>230</v>
      </c>
      <c r="E311" s="316" t="s">
        <v>1264</v>
      </c>
      <c r="F311" s="316" t="s">
        <v>143</v>
      </c>
      <c r="G311" s="321">
        <f>G312</f>
        <v>298.39999999999998</v>
      </c>
      <c r="H311" s="321">
        <f>H312</f>
        <v>298.39999999999998</v>
      </c>
      <c r="I311" s="211"/>
    </row>
    <row r="312" spans="1:9" ht="31.5" x14ac:dyDescent="0.25">
      <c r="A312" s="46" t="s">
        <v>357</v>
      </c>
      <c r="B312" s="314">
        <v>903</v>
      </c>
      <c r="C312" s="316" t="s">
        <v>279</v>
      </c>
      <c r="D312" s="316" t="s">
        <v>230</v>
      </c>
      <c r="E312" s="316" t="s">
        <v>1264</v>
      </c>
      <c r="F312" s="316" t="s">
        <v>224</v>
      </c>
      <c r="G312" s="321">
        <f>298.4</f>
        <v>298.39999999999998</v>
      </c>
      <c r="H312" s="321">
        <f t="shared" si="20"/>
        <v>298.39999999999998</v>
      </c>
      <c r="I312" s="211"/>
    </row>
    <row r="313" spans="1:9" ht="94.5" hidden="1" x14ac:dyDescent="0.25">
      <c r="A313" s="31" t="s">
        <v>308</v>
      </c>
      <c r="B313" s="314">
        <v>903</v>
      </c>
      <c r="C313" s="316" t="s">
        <v>279</v>
      </c>
      <c r="D313" s="316" t="s">
        <v>230</v>
      </c>
      <c r="E313" s="316" t="s">
        <v>1265</v>
      </c>
      <c r="F313" s="316"/>
      <c r="G313" s="321">
        <f>G314</f>
        <v>0</v>
      </c>
      <c r="H313" s="321">
        <f>H314</f>
        <v>0</v>
      </c>
      <c r="I313" s="211"/>
    </row>
    <row r="314" spans="1:9" ht="78.75" hidden="1" x14ac:dyDescent="0.25">
      <c r="A314" s="320" t="s">
        <v>142</v>
      </c>
      <c r="B314" s="314">
        <v>903</v>
      </c>
      <c r="C314" s="316" t="s">
        <v>279</v>
      </c>
      <c r="D314" s="316" t="s">
        <v>230</v>
      </c>
      <c r="E314" s="316" t="s">
        <v>1265</v>
      </c>
      <c r="F314" s="316" t="s">
        <v>143</v>
      </c>
      <c r="G314" s="321">
        <f>G315</f>
        <v>0</v>
      </c>
      <c r="H314" s="321">
        <f>H315</f>
        <v>0</v>
      </c>
      <c r="I314" s="211"/>
    </row>
    <row r="315" spans="1:9" ht="31.5" hidden="1" x14ac:dyDescent="0.25">
      <c r="A315" s="46" t="s">
        <v>357</v>
      </c>
      <c r="B315" s="314">
        <v>903</v>
      </c>
      <c r="C315" s="316" t="s">
        <v>279</v>
      </c>
      <c r="D315" s="316" t="s">
        <v>230</v>
      </c>
      <c r="E315" s="316" t="s">
        <v>1265</v>
      </c>
      <c r="F315" s="316" t="s">
        <v>224</v>
      </c>
      <c r="G315" s="321">
        <f>602.5-602.5</f>
        <v>0</v>
      </c>
      <c r="H315" s="321">
        <f t="shared" si="20"/>
        <v>0</v>
      </c>
      <c r="I315" s="211"/>
    </row>
    <row r="316" spans="1:9" ht="63" x14ac:dyDescent="0.25">
      <c r="A316" s="41" t="s">
        <v>1417</v>
      </c>
      <c r="B316" s="315">
        <v>903</v>
      </c>
      <c r="C316" s="319" t="s">
        <v>279</v>
      </c>
      <c r="D316" s="319" t="s">
        <v>230</v>
      </c>
      <c r="E316" s="319" t="s">
        <v>726</v>
      </c>
      <c r="F316" s="319"/>
      <c r="G316" s="317">
        <f>G318</f>
        <v>221</v>
      </c>
      <c r="H316" s="317">
        <f>H318</f>
        <v>221</v>
      </c>
      <c r="I316" s="211"/>
    </row>
    <row r="317" spans="1:9" ht="47.25" x14ac:dyDescent="0.25">
      <c r="A317" s="41" t="s">
        <v>947</v>
      </c>
      <c r="B317" s="315">
        <v>903</v>
      </c>
      <c r="C317" s="319" t="s">
        <v>279</v>
      </c>
      <c r="D317" s="319" t="s">
        <v>230</v>
      </c>
      <c r="E317" s="319" t="s">
        <v>945</v>
      </c>
      <c r="F317" s="319"/>
      <c r="G317" s="317">
        <f t="shared" ref="G317:H319" si="24">G318</f>
        <v>221</v>
      </c>
      <c r="H317" s="317">
        <f t="shared" si="24"/>
        <v>221</v>
      </c>
      <c r="I317" s="211"/>
    </row>
    <row r="318" spans="1:9" ht="47.25" x14ac:dyDescent="0.25">
      <c r="A318" s="99" t="s">
        <v>1155</v>
      </c>
      <c r="B318" s="316" t="s">
        <v>642</v>
      </c>
      <c r="C318" s="316" t="s">
        <v>279</v>
      </c>
      <c r="D318" s="316" t="s">
        <v>230</v>
      </c>
      <c r="E318" s="316" t="s">
        <v>946</v>
      </c>
      <c r="F318" s="32"/>
      <c r="G318" s="321">
        <f t="shared" si="24"/>
        <v>221</v>
      </c>
      <c r="H318" s="321">
        <f t="shared" si="24"/>
        <v>221</v>
      </c>
      <c r="I318" s="211"/>
    </row>
    <row r="319" spans="1:9" ht="31.5" x14ac:dyDescent="0.25">
      <c r="A319" s="320" t="s">
        <v>146</v>
      </c>
      <c r="B319" s="314">
        <v>903</v>
      </c>
      <c r="C319" s="316" t="s">
        <v>279</v>
      </c>
      <c r="D319" s="316" t="s">
        <v>230</v>
      </c>
      <c r="E319" s="316" t="s">
        <v>946</v>
      </c>
      <c r="F319" s="32" t="s">
        <v>147</v>
      </c>
      <c r="G319" s="321">
        <f t="shared" si="24"/>
        <v>221</v>
      </c>
      <c r="H319" s="321">
        <f t="shared" si="24"/>
        <v>221</v>
      </c>
      <c r="I319" s="211"/>
    </row>
    <row r="320" spans="1:9" ht="31.5" x14ac:dyDescent="0.25">
      <c r="A320" s="320" t="s">
        <v>148</v>
      </c>
      <c r="B320" s="314">
        <v>903</v>
      </c>
      <c r="C320" s="316" t="s">
        <v>279</v>
      </c>
      <c r="D320" s="316" t="s">
        <v>230</v>
      </c>
      <c r="E320" s="316" t="s">
        <v>946</v>
      </c>
      <c r="F320" s="32" t="s">
        <v>149</v>
      </c>
      <c r="G320" s="321">
        <f>221</f>
        <v>221</v>
      </c>
      <c r="H320" s="321">
        <f t="shared" si="20"/>
        <v>221</v>
      </c>
      <c r="I320" s="211"/>
    </row>
    <row r="321" spans="1:9" ht="15.75" x14ac:dyDescent="0.25">
      <c r="A321" s="318" t="s">
        <v>481</v>
      </c>
      <c r="B321" s="315">
        <v>903</v>
      </c>
      <c r="C321" s="319" t="s">
        <v>279</v>
      </c>
      <c r="D321" s="319" t="s">
        <v>279</v>
      </c>
      <c r="E321" s="316"/>
      <c r="F321" s="316"/>
      <c r="G321" s="317">
        <f>G322</f>
        <v>760</v>
      </c>
      <c r="H321" s="317">
        <f>H322</f>
        <v>760</v>
      </c>
      <c r="I321" s="211"/>
    </row>
    <row r="322" spans="1:9" ht="47.25" x14ac:dyDescent="0.25">
      <c r="A322" s="318" t="s">
        <v>1415</v>
      </c>
      <c r="B322" s="315">
        <v>903</v>
      </c>
      <c r="C322" s="319" t="s">
        <v>279</v>
      </c>
      <c r="D322" s="319" t="s">
        <v>279</v>
      </c>
      <c r="E322" s="319" t="s">
        <v>359</v>
      </c>
      <c r="F322" s="319"/>
      <c r="G322" s="317">
        <f>G323</f>
        <v>760</v>
      </c>
      <c r="H322" s="317">
        <f>H323</f>
        <v>760</v>
      </c>
      <c r="I322" s="211"/>
    </row>
    <row r="323" spans="1:9" ht="31.5" x14ac:dyDescent="0.25">
      <c r="A323" s="318" t="s">
        <v>360</v>
      </c>
      <c r="B323" s="315">
        <v>903</v>
      </c>
      <c r="C323" s="319" t="s">
        <v>279</v>
      </c>
      <c r="D323" s="319" t="s">
        <v>279</v>
      </c>
      <c r="E323" s="319" t="s">
        <v>361</v>
      </c>
      <c r="F323" s="319"/>
      <c r="G323" s="317">
        <f>G324+G331+G337</f>
        <v>760</v>
      </c>
      <c r="H323" s="317">
        <f>H324+H331+H337</f>
        <v>760</v>
      </c>
      <c r="I323" s="211"/>
    </row>
    <row r="324" spans="1:9" ht="47.25" x14ac:dyDescent="0.25">
      <c r="A324" s="216" t="s">
        <v>1194</v>
      </c>
      <c r="B324" s="315">
        <v>903</v>
      </c>
      <c r="C324" s="319" t="s">
        <v>279</v>
      </c>
      <c r="D324" s="319" t="s">
        <v>279</v>
      </c>
      <c r="E324" s="319" t="s">
        <v>950</v>
      </c>
      <c r="F324" s="319"/>
      <c r="G324" s="317">
        <f>G325+G328</f>
        <v>280</v>
      </c>
      <c r="H324" s="317">
        <f>H325+H328</f>
        <v>280</v>
      </c>
      <c r="I324" s="211"/>
    </row>
    <row r="325" spans="1:9" ht="31.5" x14ac:dyDescent="0.25">
      <c r="A325" s="99" t="s">
        <v>1200</v>
      </c>
      <c r="B325" s="314">
        <v>903</v>
      </c>
      <c r="C325" s="316" t="s">
        <v>279</v>
      </c>
      <c r="D325" s="316" t="s">
        <v>279</v>
      </c>
      <c r="E325" s="316" t="s">
        <v>951</v>
      </c>
      <c r="F325" s="316"/>
      <c r="G325" s="321">
        <f>G326</f>
        <v>280</v>
      </c>
      <c r="H325" s="321">
        <f>H326</f>
        <v>280</v>
      </c>
      <c r="I325" s="211"/>
    </row>
    <row r="326" spans="1:9" ht="78.75" x14ac:dyDescent="0.25">
      <c r="A326" s="320" t="s">
        <v>142</v>
      </c>
      <c r="B326" s="314">
        <v>903</v>
      </c>
      <c r="C326" s="316" t="s">
        <v>279</v>
      </c>
      <c r="D326" s="316" t="s">
        <v>279</v>
      </c>
      <c r="E326" s="316" t="s">
        <v>951</v>
      </c>
      <c r="F326" s="316" t="s">
        <v>143</v>
      </c>
      <c r="G326" s="321">
        <f>G327</f>
        <v>280</v>
      </c>
      <c r="H326" s="321">
        <f>H327</f>
        <v>280</v>
      </c>
      <c r="I326" s="211"/>
    </row>
    <row r="327" spans="1:9" ht="31.5" x14ac:dyDescent="0.25">
      <c r="A327" s="320" t="s">
        <v>357</v>
      </c>
      <c r="B327" s="314">
        <v>903</v>
      </c>
      <c r="C327" s="316" t="s">
        <v>279</v>
      </c>
      <c r="D327" s="316" t="s">
        <v>279</v>
      </c>
      <c r="E327" s="316" t="s">
        <v>951</v>
      </c>
      <c r="F327" s="316" t="s">
        <v>224</v>
      </c>
      <c r="G327" s="321">
        <f>280</f>
        <v>280</v>
      </c>
      <c r="H327" s="321">
        <f t="shared" si="20"/>
        <v>280</v>
      </c>
      <c r="I327" s="211"/>
    </row>
    <row r="328" spans="1:9" ht="31.5" hidden="1" x14ac:dyDescent="0.25">
      <c r="A328" s="320" t="s">
        <v>1195</v>
      </c>
      <c r="B328" s="314">
        <v>903</v>
      </c>
      <c r="C328" s="316" t="s">
        <v>279</v>
      </c>
      <c r="D328" s="316" t="s">
        <v>279</v>
      </c>
      <c r="E328" s="316" t="s">
        <v>1219</v>
      </c>
      <c r="F328" s="316"/>
      <c r="G328" s="321">
        <f>'Пр.4 ведом.20'!G347</f>
        <v>0</v>
      </c>
      <c r="H328" s="321">
        <f t="shared" si="20"/>
        <v>0</v>
      </c>
      <c r="I328" s="211"/>
    </row>
    <row r="329" spans="1:9" ht="31.5" hidden="1" x14ac:dyDescent="0.25">
      <c r="A329" s="320" t="s">
        <v>146</v>
      </c>
      <c r="B329" s="314">
        <v>903</v>
      </c>
      <c r="C329" s="316" t="s">
        <v>279</v>
      </c>
      <c r="D329" s="316" t="s">
        <v>279</v>
      </c>
      <c r="E329" s="316" t="s">
        <v>1219</v>
      </c>
      <c r="F329" s="316" t="s">
        <v>147</v>
      </c>
      <c r="G329" s="321">
        <f>'Пр.4 ведом.20'!G348</f>
        <v>0</v>
      </c>
      <c r="H329" s="321">
        <f t="shared" si="20"/>
        <v>0</v>
      </c>
      <c r="I329" s="211"/>
    </row>
    <row r="330" spans="1:9" ht="31.5" hidden="1" x14ac:dyDescent="0.25">
      <c r="A330" s="320" t="s">
        <v>148</v>
      </c>
      <c r="B330" s="314">
        <v>903</v>
      </c>
      <c r="C330" s="316" t="s">
        <v>279</v>
      </c>
      <c r="D330" s="316" t="s">
        <v>279</v>
      </c>
      <c r="E330" s="316" t="s">
        <v>1219</v>
      </c>
      <c r="F330" s="316" t="s">
        <v>149</v>
      </c>
      <c r="G330" s="321">
        <f>'Пр.4 ведом.20'!G349</f>
        <v>0</v>
      </c>
      <c r="H330" s="321">
        <f t="shared" si="20"/>
        <v>0</v>
      </c>
      <c r="I330" s="211"/>
    </row>
    <row r="331" spans="1:9" ht="63" x14ac:dyDescent="0.25">
      <c r="A331" s="318" t="s">
        <v>1196</v>
      </c>
      <c r="B331" s="315">
        <v>903</v>
      </c>
      <c r="C331" s="319" t="s">
        <v>279</v>
      </c>
      <c r="D331" s="319" t="s">
        <v>279</v>
      </c>
      <c r="E331" s="319" t="s">
        <v>952</v>
      </c>
      <c r="F331" s="319"/>
      <c r="G331" s="317">
        <f>G332</f>
        <v>455</v>
      </c>
      <c r="H331" s="317">
        <f>H332</f>
        <v>455</v>
      </c>
      <c r="I331" s="211"/>
    </row>
    <row r="332" spans="1:9" ht="15.75" x14ac:dyDescent="0.25">
      <c r="A332" s="320" t="s">
        <v>1197</v>
      </c>
      <c r="B332" s="314">
        <v>903</v>
      </c>
      <c r="C332" s="316" t="s">
        <v>279</v>
      </c>
      <c r="D332" s="316" t="s">
        <v>279</v>
      </c>
      <c r="E332" s="316" t="s">
        <v>970</v>
      </c>
      <c r="F332" s="316"/>
      <c r="G332" s="321">
        <f>G333+G335</f>
        <v>455</v>
      </c>
      <c r="H332" s="321">
        <f>H333+H335</f>
        <v>455</v>
      </c>
      <c r="I332" s="211"/>
    </row>
    <row r="333" spans="1:9" ht="78.75" x14ac:dyDescent="0.25">
      <c r="A333" s="320" t="s">
        <v>142</v>
      </c>
      <c r="B333" s="314">
        <v>903</v>
      </c>
      <c r="C333" s="316" t="s">
        <v>279</v>
      </c>
      <c r="D333" s="316" t="s">
        <v>279</v>
      </c>
      <c r="E333" s="316" t="s">
        <v>970</v>
      </c>
      <c r="F333" s="316" t="s">
        <v>143</v>
      </c>
      <c r="G333" s="321">
        <f>G334</f>
        <v>40</v>
      </c>
      <c r="H333" s="321">
        <f>H334</f>
        <v>40</v>
      </c>
      <c r="I333" s="211"/>
    </row>
    <row r="334" spans="1:9" ht="31.5" x14ac:dyDescent="0.25">
      <c r="A334" s="320" t="s">
        <v>357</v>
      </c>
      <c r="B334" s="314">
        <v>903</v>
      </c>
      <c r="C334" s="316" t="s">
        <v>279</v>
      </c>
      <c r="D334" s="316" t="s">
        <v>279</v>
      </c>
      <c r="E334" s="316" t="s">
        <v>970</v>
      </c>
      <c r="F334" s="316" t="s">
        <v>224</v>
      </c>
      <c r="G334" s="321">
        <f>40</f>
        <v>40</v>
      </c>
      <c r="H334" s="321">
        <f t="shared" si="20"/>
        <v>40</v>
      </c>
      <c r="I334" s="211"/>
    </row>
    <row r="335" spans="1:9" ht="31.5" x14ac:dyDescent="0.25">
      <c r="A335" s="320" t="s">
        <v>146</v>
      </c>
      <c r="B335" s="314">
        <v>903</v>
      </c>
      <c r="C335" s="316" t="s">
        <v>279</v>
      </c>
      <c r="D335" s="316" t="s">
        <v>279</v>
      </c>
      <c r="E335" s="316" t="s">
        <v>970</v>
      </c>
      <c r="F335" s="316" t="s">
        <v>147</v>
      </c>
      <c r="G335" s="321">
        <f>G336</f>
        <v>415</v>
      </c>
      <c r="H335" s="321">
        <f>H336</f>
        <v>415</v>
      </c>
      <c r="I335" s="211"/>
    </row>
    <row r="336" spans="1:9" ht="31.5" x14ac:dyDescent="0.25">
      <c r="A336" s="320" t="s">
        <v>148</v>
      </c>
      <c r="B336" s="314">
        <v>903</v>
      </c>
      <c r="C336" s="316" t="s">
        <v>279</v>
      </c>
      <c r="D336" s="316" t="s">
        <v>279</v>
      </c>
      <c r="E336" s="316" t="s">
        <v>970</v>
      </c>
      <c r="F336" s="316" t="s">
        <v>149</v>
      </c>
      <c r="G336" s="321">
        <f>415</f>
        <v>415</v>
      </c>
      <c r="H336" s="321">
        <f t="shared" si="20"/>
        <v>415</v>
      </c>
      <c r="I336" s="211"/>
    </row>
    <row r="337" spans="1:9" ht="31.5" x14ac:dyDescent="0.25">
      <c r="A337" s="318" t="s">
        <v>1202</v>
      </c>
      <c r="B337" s="315">
        <v>903</v>
      </c>
      <c r="C337" s="319" t="s">
        <v>279</v>
      </c>
      <c r="D337" s="319" t="s">
        <v>279</v>
      </c>
      <c r="E337" s="319" t="s">
        <v>1198</v>
      </c>
      <c r="F337" s="319"/>
      <c r="G337" s="317">
        <f t="shared" ref="G337:H339" si="25">G338</f>
        <v>25</v>
      </c>
      <c r="H337" s="317">
        <f t="shared" si="25"/>
        <v>25</v>
      </c>
      <c r="I337" s="211"/>
    </row>
    <row r="338" spans="1:9" ht="47.25" x14ac:dyDescent="0.25">
      <c r="A338" s="239" t="s">
        <v>1199</v>
      </c>
      <c r="B338" s="314">
        <v>903</v>
      </c>
      <c r="C338" s="316" t="s">
        <v>279</v>
      </c>
      <c r="D338" s="316" t="s">
        <v>279</v>
      </c>
      <c r="E338" s="316" t="s">
        <v>1220</v>
      </c>
      <c r="F338" s="316"/>
      <c r="G338" s="321">
        <f t="shared" si="25"/>
        <v>25</v>
      </c>
      <c r="H338" s="321">
        <f t="shared" si="25"/>
        <v>25</v>
      </c>
      <c r="I338" s="211"/>
    </row>
    <row r="339" spans="1:9" ht="31.5" x14ac:dyDescent="0.25">
      <c r="A339" s="320" t="s">
        <v>263</v>
      </c>
      <c r="B339" s="314">
        <v>903</v>
      </c>
      <c r="C339" s="316" t="s">
        <v>279</v>
      </c>
      <c r="D339" s="316" t="s">
        <v>279</v>
      </c>
      <c r="E339" s="316" t="s">
        <v>1220</v>
      </c>
      <c r="F339" s="316" t="s">
        <v>264</v>
      </c>
      <c r="G339" s="321">
        <f t="shared" si="25"/>
        <v>25</v>
      </c>
      <c r="H339" s="321">
        <f t="shared" si="25"/>
        <v>25</v>
      </c>
      <c r="I339" s="211"/>
    </row>
    <row r="340" spans="1:9" ht="31.5" x14ac:dyDescent="0.25">
      <c r="A340" s="349" t="s">
        <v>1478</v>
      </c>
      <c r="B340" s="314">
        <v>903</v>
      </c>
      <c r="C340" s="316" t="s">
        <v>279</v>
      </c>
      <c r="D340" s="316" t="s">
        <v>279</v>
      </c>
      <c r="E340" s="316" t="s">
        <v>1220</v>
      </c>
      <c r="F340" s="316" t="s">
        <v>1477</v>
      </c>
      <c r="G340" s="321">
        <f>25</f>
        <v>25</v>
      </c>
      <c r="H340" s="321">
        <f t="shared" si="20"/>
        <v>25</v>
      </c>
      <c r="I340" s="211"/>
    </row>
    <row r="341" spans="1:9" ht="15.75" x14ac:dyDescent="0.25">
      <c r="A341" s="318" t="s">
        <v>313</v>
      </c>
      <c r="B341" s="315">
        <v>903</v>
      </c>
      <c r="C341" s="319" t="s">
        <v>314</v>
      </c>
      <c r="D341" s="319"/>
      <c r="E341" s="319"/>
      <c r="F341" s="319"/>
      <c r="G341" s="317">
        <f>G342+G415</f>
        <v>70268.512000000002</v>
      </c>
      <c r="H341" s="317">
        <f>H342+H415</f>
        <v>67994.2</v>
      </c>
      <c r="I341" s="211"/>
    </row>
    <row r="342" spans="1:9" ht="15.75" x14ac:dyDescent="0.25">
      <c r="A342" s="318" t="s">
        <v>315</v>
      </c>
      <c r="B342" s="315">
        <v>903</v>
      </c>
      <c r="C342" s="319" t="s">
        <v>314</v>
      </c>
      <c r="D342" s="319" t="s">
        <v>133</v>
      </c>
      <c r="E342" s="319"/>
      <c r="F342" s="319"/>
      <c r="G342" s="317">
        <f>G343+G410+G405</f>
        <v>52929.512000000002</v>
      </c>
      <c r="H342" s="317">
        <f>H343+H410+H405</f>
        <v>50655.199999999997</v>
      </c>
      <c r="I342" s="211"/>
    </row>
    <row r="343" spans="1:9" ht="39.200000000000003" customHeight="1" x14ac:dyDescent="0.25">
      <c r="A343" s="318" t="s">
        <v>1418</v>
      </c>
      <c r="B343" s="315">
        <v>903</v>
      </c>
      <c r="C343" s="319" t="s">
        <v>314</v>
      </c>
      <c r="D343" s="319" t="s">
        <v>133</v>
      </c>
      <c r="E343" s="319" t="s">
        <v>282</v>
      </c>
      <c r="F343" s="319"/>
      <c r="G343" s="317">
        <f>G344+G371</f>
        <v>52136.312000000005</v>
      </c>
      <c r="H343" s="317">
        <f>H344+H371</f>
        <v>49862</v>
      </c>
      <c r="I343" s="211"/>
    </row>
    <row r="344" spans="1:9" ht="47.25" x14ac:dyDescent="0.25">
      <c r="A344" s="318" t="s">
        <v>1419</v>
      </c>
      <c r="B344" s="315">
        <v>903</v>
      </c>
      <c r="C344" s="319" t="s">
        <v>314</v>
      </c>
      <c r="D344" s="319" t="s">
        <v>133</v>
      </c>
      <c r="E344" s="319" t="s">
        <v>317</v>
      </c>
      <c r="F344" s="319"/>
      <c r="G344" s="317">
        <f>G345+G353+G359+G363+G367</f>
        <v>27742.858</v>
      </c>
      <c r="H344" s="317">
        <f>H345+H353+H359+H363+H367</f>
        <v>25446.3</v>
      </c>
      <c r="I344" s="211"/>
    </row>
    <row r="345" spans="1:9" ht="33.75" customHeight="1" x14ac:dyDescent="0.25">
      <c r="A345" s="318" t="s">
        <v>954</v>
      </c>
      <c r="B345" s="315">
        <v>903</v>
      </c>
      <c r="C345" s="319" t="s">
        <v>314</v>
      </c>
      <c r="D345" s="319" t="s">
        <v>133</v>
      </c>
      <c r="E345" s="319" t="s">
        <v>955</v>
      </c>
      <c r="F345" s="319"/>
      <c r="G345" s="317">
        <f>G346</f>
        <v>23784</v>
      </c>
      <c r="H345" s="317">
        <f>H346</f>
        <v>23784</v>
      </c>
      <c r="I345" s="211"/>
    </row>
    <row r="346" spans="1:9" ht="15.75" x14ac:dyDescent="0.25">
      <c r="A346" s="320" t="s">
        <v>830</v>
      </c>
      <c r="B346" s="314">
        <v>903</v>
      </c>
      <c r="C346" s="316" t="s">
        <v>314</v>
      </c>
      <c r="D346" s="316" t="s">
        <v>133</v>
      </c>
      <c r="E346" s="316" t="s">
        <v>953</v>
      </c>
      <c r="F346" s="316"/>
      <c r="G346" s="321">
        <f>G347+G349+G351</f>
        <v>23784</v>
      </c>
      <c r="H346" s="321">
        <f>H347+H349+H351</f>
        <v>23784</v>
      </c>
      <c r="I346" s="211"/>
    </row>
    <row r="347" spans="1:9" ht="78.75" x14ac:dyDescent="0.25">
      <c r="A347" s="320" t="s">
        <v>142</v>
      </c>
      <c r="B347" s="314">
        <v>903</v>
      </c>
      <c r="C347" s="316" t="s">
        <v>314</v>
      </c>
      <c r="D347" s="316" t="s">
        <v>133</v>
      </c>
      <c r="E347" s="316" t="s">
        <v>953</v>
      </c>
      <c r="F347" s="316" t="s">
        <v>143</v>
      </c>
      <c r="G347" s="321">
        <f>G348</f>
        <v>20032</v>
      </c>
      <c r="H347" s="321">
        <f>H348</f>
        <v>20032</v>
      </c>
      <c r="I347" s="211"/>
    </row>
    <row r="348" spans="1:9" ht="15.75" x14ac:dyDescent="0.25">
      <c r="A348" s="320" t="s">
        <v>223</v>
      </c>
      <c r="B348" s="314">
        <v>903</v>
      </c>
      <c r="C348" s="316" t="s">
        <v>314</v>
      </c>
      <c r="D348" s="316" t="s">
        <v>133</v>
      </c>
      <c r="E348" s="316" t="s">
        <v>953</v>
      </c>
      <c r="F348" s="316" t="s">
        <v>224</v>
      </c>
      <c r="G348" s="321">
        <f>20032</f>
        <v>20032</v>
      </c>
      <c r="H348" s="321">
        <f t="shared" si="20"/>
        <v>20032</v>
      </c>
      <c r="I348" s="211"/>
    </row>
    <row r="349" spans="1:9" ht="31.5" x14ac:dyDescent="0.25">
      <c r="A349" s="320" t="s">
        <v>146</v>
      </c>
      <c r="B349" s="314">
        <v>903</v>
      </c>
      <c r="C349" s="316" t="s">
        <v>314</v>
      </c>
      <c r="D349" s="316" t="s">
        <v>133</v>
      </c>
      <c r="E349" s="316" t="s">
        <v>953</v>
      </c>
      <c r="F349" s="316" t="s">
        <v>147</v>
      </c>
      <c r="G349" s="321">
        <f>G350</f>
        <v>3715</v>
      </c>
      <c r="H349" s="321">
        <f>H350</f>
        <v>3715</v>
      </c>
      <c r="I349" s="211"/>
    </row>
    <row r="350" spans="1:9" ht="31.5" x14ac:dyDescent="0.25">
      <c r="A350" s="320" t="s">
        <v>148</v>
      </c>
      <c r="B350" s="314">
        <v>903</v>
      </c>
      <c r="C350" s="316" t="s">
        <v>314</v>
      </c>
      <c r="D350" s="316" t="s">
        <v>133</v>
      </c>
      <c r="E350" s="316" t="s">
        <v>953</v>
      </c>
      <c r="F350" s="316" t="s">
        <v>149</v>
      </c>
      <c r="G350" s="321">
        <f>3715</f>
        <v>3715</v>
      </c>
      <c r="H350" s="321">
        <f t="shared" si="20"/>
        <v>3715</v>
      </c>
      <c r="I350" s="211"/>
    </row>
    <row r="351" spans="1:9" ht="15.75" x14ac:dyDescent="0.25">
      <c r="A351" s="320" t="s">
        <v>150</v>
      </c>
      <c r="B351" s="314">
        <v>903</v>
      </c>
      <c r="C351" s="316" t="s">
        <v>314</v>
      </c>
      <c r="D351" s="316" t="s">
        <v>133</v>
      </c>
      <c r="E351" s="316" t="s">
        <v>953</v>
      </c>
      <c r="F351" s="316" t="s">
        <v>160</v>
      </c>
      <c r="G351" s="321">
        <f>G352</f>
        <v>37</v>
      </c>
      <c r="H351" s="321">
        <f>H352</f>
        <v>37</v>
      </c>
      <c r="I351" s="211"/>
    </row>
    <row r="352" spans="1:9" ht="15.75" x14ac:dyDescent="0.25">
      <c r="A352" s="320" t="s">
        <v>583</v>
      </c>
      <c r="B352" s="314">
        <v>903</v>
      </c>
      <c r="C352" s="316" t="s">
        <v>314</v>
      </c>
      <c r="D352" s="316" t="s">
        <v>133</v>
      </c>
      <c r="E352" s="316" t="s">
        <v>953</v>
      </c>
      <c r="F352" s="316" t="s">
        <v>153</v>
      </c>
      <c r="G352" s="321">
        <f>37</f>
        <v>37</v>
      </c>
      <c r="H352" s="321">
        <f t="shared" ref="H352:H414" si="26">G352</f>
        <v>37</v>
      </c>
      <c r="I352" s="211"/>
    </row>
    <row r="353" spans="1:11" ht="31.5" x14ac:dyDescent="0.25">
      <c r="A353" s="222" t="s">
        <v>968</v>
      </c>
      <c r="B353" s="315">
        <v>903</v>
      </c>
      <c r="C353" s="319" t="s">
        <v>314</v>
      </c>
      <c r="D353" s="319" t="s">
        <v>133</v>
      </c>
      <c r="E353" s="319" t="s">
        <v>956</v>
      </c>
      <c r="F353" s="319"/>
      <c r="G353" s="317">
        <f>G354+G355</f>
        <v>250</v>
      </c>
      <c r="H353" s="317">
        <f t="shared" ref="H353:K353" si="27">H354+H355</f>
        <v>250</v>
      </c>
      <c r="I353" s="317">
        <f t="shared" si="27"/>
        <v>0</v>
      </c>
      <c r="J353" s="317">
        <f t="shared" si="27"/>
        <v>0</v>
      </c>
      <c r="K353" s="317">
        <f t="shared" si="27"/>
        <v>0</v>
      </c>
    </row>
    <row r="354" spans="1:11" ht="31.5" x14ac:dyDescent="0.25">
      <c r="A354" s="31" t="s">
        <v>858</v>
      </c>
      <c r="B354" s="314">
        <v>903</v>
      </c>
      <c r="C354" s="316" t="s">
        <v>314</v>
      </c>
      <c r="D354" s="316" t="s">
        <v>133</v>
      </c>
      <c r="E354" s="316" t="s">
        <v>957</v>
      </c>
      <c r="F354" s="316"/>
      <c r="G354" s="321">
        <f>G357</f>
        <v>250</v>
      </c>
      <c r="H354" s="321">
        <f>H357</f>
        <v>250</v>
      </c>
      <c r="I354" s="211"/>
    </row>
    <row r="355" spans="1:11" ht="78.75" hidden="1" x14ac:dyDescent="0.25">
      <c r="A355" s="320" t="s">
        <v>142</v>
      </c>
      <c r="B355" s="314">
        <v>903</v>
      </c>
      <c r="C355" s="316" t="s">
        <v>314</v>
      </c>
      <c r="D355" s="316" t="s">
        <v>133</v>
      </c>
      <c r="E355" s="316" t="s">
        <v>957</v>
      </c>
      <c r="F355" s="316" t="s">
        <v>143</v>
      </c>
      <c r="G355" s="321">
        <f>G356</f>
        <v>0</v>
      </c>
      <c r="H355" s="321">
        <f t="shared" si="26"/>
        <v>0</v>
      </c>
      <c r="I355" s="211"/>
    </row>
    <row r="356" spans="1:11" ht="15.75" hidden="1" x14ac:dyDescent="0.25">
      <c r="A356" s="320" t="s">
        <v>223</v>
      </c>
      <c r="B356" s="314">
        <v>903</v>
      </c>
      <c r="C356" s="316" t="s">
        <v>314</v>
      </c>
      <c r="D356" s="316" t="s">
        <v>133</v>
      </c>
      <c r="E356" s="316" t="s">
        <v>957</v>
      </c>
      <c r="F356" s="316" t="s">
        <v>224</v>
      </c>
      <c r="G356" s="321">
        <v>0</v>
      </c>
      <c r="H356" s="321">
        <f t="shared" si="26"/>
        <v>0</v>
      </c>
      <c r="I356" s="211"/>
    </row>
    <row r="357" spans="1:11" ht="31.5" x14ac:dyDescent="0.25">
      <c r="A357" s="320" t="s">
        <v>146</v>
      </c>
      <c r="B357" s="314">
        <v>903</v>
      </c>
      <c r="C357" s="316" t="s">
        <v>314</v>
      </c>
      <c r="D357" s="316" t="s">
        <v>133</v>
      </c>
      <c r="E357" s="316" t="s">
        <v>957</v>
      </c>
      <c r="F357" s="316" t="s">
        <v>147</v>
      </c>
      <c r="G357" s="321">
        <f>G358</f>
        <v>250</v>
      </c>
      <c r="H357" s="321">
        <f>H358</f>
        <v>250</v>
      </c>
      <c r="I357" s="211"/>
    </row>
    <row r="358" spans="1:11" ht="31.5" x14ac:dyDescent="0.25">
      <c r="A358" s="320" t="s">
        <v>148</v>
      </c>
      <c r="B358" s="314">
        <v>903</v>
      </c>
      <c r="C358" s="316" t="s">
        <v>314</v>
      </c>
      <c r="D358" s="316" t="s">
        <v>133</v>
      </c>
      <c r="E358" s="316" t="s">
        <v>957</v>
      </c>
      <c r="F358" s="316" t="s">
        <v>149</v>
      </c>
      <c r="G358" s="321">
        <f>250</f>
        <v>250</v>
      </c>
      <c r="H358" s="321">
        <f t="shared" si="26"/>
        <v>250</v>
      </c>
      <c r="I358" s="211"/>
    </row>
    <row r="359" spans="1:11" ht="31.5" x14ac:dyDescent="0.25">
      <c r="A359" s="318" t="s">
        <v>1074</v>
      </c>
      <c r="B359" s="315">
        <v>903</v>
      </c>
      <c r="C359" s="319" t="s">
        <v>314</v>
      </c>
      <c r="D359" s="319" t="s">
        <v>133</v>
      </c>
      <c r="E359" s="319" t="s">
        <v>1162</v>
      </c>
      <c r="F359" s="319"/>
      <c r="G359" s="44">
        <f t="shared" ref="G359:H361" si="28">G360</f>
        <v>588</v>
      </c>
      <c r="H359" s="44">
        <f t="shared" si="28"/>
        <v>588</v>
      </c>
      <c r="I359" s="211"/>
    </row>
    <row r="360" spans="1:11" ht="47.25" x14ac:dyDescent="0.25">
      <c r="A360" s="320" t="s">
        <v>883</v>
      </c>
      <c r="B360" s="314">
        <v>903</v>
      </c>
      <c r="C360" s="316" t="s">
        <v>314</v>
      </c>
      <c r="D360" s="316" t="s">
        <v>133</v>
      </c>
      <c r="E360" s="316" t="s">
        <v>1163</v>
      </c>
      <c r="F360" s="316"/>
      <c r="G360" s="321">
        <f t="shared" si="28"/>
        <v>588</v>
      </c>
      <c r="H360" s="321">
        <f t="shared" si="28"/>
        <v>588</v>
      </c>
      <c r="I360" s="211"/>
    </row>
    <row r="361" spans="1:11" ht="78.75" x14ac:dyDescent="0.25">
      <c r="A361" s="320" t="s">
        <v>142</v>
      </c>
      <c r="B361" s="314">
        <v>903</v>
      </c>
      <c r="C361" s="316" t="s">
        <v>314</v>
      </c>
      <c r="D361" s="316" t="s">
        <v>133</v>
      </c>
      <c r="E361" s="316" t="s">
        <v>1163</v>
      </c>
      <c r="F361" s="316" t="s">
        <v>143</v>
      </c>
      <c r="G361" s="321">
        <f t="shared" si="28"/>
        <v>588</v>
      </c>
      <c r="H361" s="321">
        <f t="shared" si="28"/>
        <v>588</v>
      </c>
      <c r="I361" s="211"/>
    </row>
    <row r="362" spans="1:11" ht="31.5" x14ac:dyDescent="0.25">
      <c r="A362" s="320" t="s">
        <v>144</v>
      </c>
      <c r="B362" s="314">
        <v>903</v>
      </c>
      <c r="C362" s="316" t="s">
        <v>314</v>
      </c>
      <c r="D362" s="316" t="s">
        <v>133</v>
      </c>
      <c r="E362" s="316" t="s">
        <v>1163</v>
      </c>
      <c r="F362" s="316" t="s">
        <v>224</v>
      </c>
      <c r="G362" s="321">
        <f>588</f>
        <v>588</v>
      </c>
      <c r="H362" s="321">
        <f t="shared" si="26"/>
        <v>588</v>
      </c>
      <c r="I362" s="211"/>
    </row>
    <row r="363" spans="1:11" ht="47.25" x14ac:dyDescent="0.25">
      <c r="A363" s="223" t="s">
        <v>969</v>
      </c>
      <c r="B363" s="315">
        <v>903</v>
      </c>
      <c r="C363" s="319" t="s">
        <v>314</v>
      </c>
      <c r="D363" s="319" t="s">
        <v>133</v>
      </c>
      <c r="E363" s="319" t="s">
        <v>1164</v>
      </c>
      <c r="F363" s="319"/>
      <c r="G363" s="317">
        <f t="shared" ref="G363:H365" si="29">G364</f>
        <v>824.3</v>
      </c>
      <c r="H363" s="317">
        <f t="shared" si="29"/>
        <v>824.3</v>
      </c>
      <c r="I363" s="211"/>
    </row>
    <row r="364" spans="1:11" ht="94.5" x14ac:dyDescent="0.25">
      <c r="A364" s="31" t="s">
        <v>308</v>
      </c>
      <c r="B364" s="314">
        <v>903</v>
      </c>
      <c r="C364" s="316" t="s">
        <v>314</v>
      </c>
      <c r="D364" s="316" t="s">
        <v>133</v>
      </c>
      <c r="E364" s="316" t="s">
        <v>1511</v>
      </c>
      <c r="F364" s="316"/>
      <c r="G364" s="321">
        <f t="shared" si="29"/>
        <v>824.3</v>
      </c>
      <c r="H364" s="321">
        <f t="shared" si="29"/>
        <v>824.3</v>
      </c>
      <c r="I364" s="211"/>
    </row>
    <row r="365" spans="1:11" ht="78.75" x14ac:dyDescent="0.25">
      <c r="A365" s="320" t="s">
        <v>142</v>
      </c>
      <c r="B365" s="314">
        <v>903</v>
      </c>
      <c r="C365" s="316" t="s">
        <v>314</v>
      </c>
      <c r="D365" s="316" t="s">
        <v>133</v>
      </c>
      <c r="E365" s="316" t="s">
        <v>1511</v>
      </c>
      <c r="F365" s="316" t="s">
        <v>143</v>
      </c>
      <c r="G365" s="321">
        <f t="shared" si="29"/>
        <v>824.3</v>
      </c>
      <c r="H365" s="321">
        <f t="shared" si="29"/>
        <v>824.3</v>
      </c>
      <c r="I365" s="211"/>
    </row>
    <row r="366" spans="1:11" ht="15.75" x14ac:dyDescent="0.25">
      <c r="A366" s="320" t="s">
        <v>223</v>
      </c>
      <c r="B366" s="314">
        <v>903</v>
      </c>
      <c r="C366" s="316" t="s">
        <v>314</v>
      </c>
      <c r="D366" s="316" t="s">
        <v>133</v>
      </c>
      <c r="E366" s="316" t="s">
        <v>1511</v>
      </c>
      <c r="F366" s="316" t="s">
        <v>224</v>
      </c>
      <c r="G366" s="321">
        <f>824.3</f>
        <v>824.3</v>
      </c>
      <c r="H366" s="321">
        <f t="shared" si="26"/>
        <v>824.3</v>
      </c>
      <c r="I366" s="211"/>
    </row>
    <row r="367" spans="1:11" s="210" customFormat="1" ht="31.5" x14ac:dyDescent="0.25">
      <c r="A367" s="216" t="s">
        <v>1436</v>
      </c>
      <c r="B367" s="315">
        <v>903</v>
      </c>
      <c r="C367" s="319" t="s">
        <v>314</v>
      </c>
      <c r="D367" s="319" t="s">
        <v>133</v>
      </c>
      <c r="E367" s="319" t="s">
        <v>1433</v>
      </c>
      <c r="F367" s="319"/>
      <c r="G367" s="317">
        <f t="shared" ref="G367:H369" si="30">G368</f>
        <v>2296.558</v>
      </c>
      <c r="H367" s="317">
        <f t="shared" si="30"/>
        <v>0</v>
      </c>
      <c r="I367" s="211"/>
    </row>
    <row r="368" spans="1:11" s="210" customFormat="1" ht="15.75" x14ac:dyDescent="0.25">
      <c r="A368" s="99" t="s">
        <v>1458</v>
      </c>
      <c r="B368" s="314">
        <v>903</v>
      </c>
      <c r="C368" s="316" t="s">
        <v>314</v>
      </c>
      <c r="D368" s="316" t="s">
        <v>133</v>
      </c>
      <c r="E368" s="316" t="s">
        <v>1434</v>
      </c>
      <c r="F368" s="316"/>
      <c r="G368" s="321">
        <f t="shared" si="30"/>
        <v>2296.558</v>
      </c>
      <c r="H368" s="321">
        <f t="shared" si="30"/>
        <v>0</v>
      </c>
      <c r="I368" s="211"/>
    </row>
    <row r="369" spans="1:9" s="210" customFormat="1" ht="31.5" x14ac:dyDescent="0.25">
      <c r="A369" s="320" t="s">
        <v>146</v>
      </c>
      <c r="B369" s="314">
        <v>903</v>
      </c>
      <c r="C369" s="316" t="s">
        <v>314</v>
      </c>
      <c r="D369" s="316" t="s">
        <v>133</v>
      </c>
      <c r="E369" s="316" t="s">
        <v>1434</v>
      </c>
      <c r="F369" s="316" t="s">
        <v>147</v>
      </c>
      <c r="G369" s="321">
        <f>G370</f>
        <v>2296.558</v>
      </c>
      <c r="H369" s="321">
        <f t="shared" si="30"/>
        <v>0</v>
      </c>
      <c r="I369" s="211"/>
    </row>
    <row r="370" spans="1:9" s="210" customFormat="1" ht="31.5" x14ac:dyDescent="0.25">
      <c r="A370" s="320" t="s">
        <v>148</v>
      </c>
      <c r="B370" s="314">
        <v>903</v>
      </c>
      <c r="C370" s="316" t="s">
        <v>314</v>
      </c>
      <c r="D370" s="316" t="s">
        <v>133</v>
      </c>
      <c r="E370" s="316" t="s">
        <v>1434</v>
      </c>
      <c r="F370" s="316" t="s">
        <v>149</v>
      </c>
      <c r="G370" s="321">
        <f>2202.4+22.246+71.912</f>
        <v>2296.558</v>
      </c>
      <c r="H370" s="321">
        <v>0</v>
      </c>
      <c r="I370" s="211"/>
    </row>
    <row r="371" spans="1:9" ht="31.5" x14ac:dyDescent="0.25">
      <c r="A371" s="318" t="s">
        <v>1420</v>
      </c>
      <c r="B371" s="315">
        <v>903</v>
      </c>
      <c r="C371" s="319" t="s">
        <v>314</v>
      </c>
      <c r="D371" s="319" t="s">
        <v>133</v>
      </c>
      <c r="E371" s="319" t="s">
        <v>328</v>
      </c>
      <c r="F371" s="319"/>
      <c r="G371" s="317">
        <f>G372+G380+G388+G395+G384</f>
        <v>24393.454000000002</v>
      </c>
      <c r="H371" s="317">
        <f>H372+H380+H388+H395+H384</f>
        <v>24415.7</v>
      </c>
      <c r="I371" s="211"/>
    </row>
    <row r="372" spans="1:9" ht="36.75" customHeight="1" x14ac:dyDescent="0.25">
      <c r="A372" s="318" t="s">
        <v>954</v>
      </c>
      <c r="B372" s="315">
        <v>903</v>
      </c>
      <c r="C372" s="319" t="s">
        <v>314</v>
      </c>
      <c r="D372" s="319" t="s">
        <v>133</v>
      </c>
      <c r="E372" s="319" t="s">
        <v>958</v>
      </c>
      <c r="F372" s="319"/>
      <c r="G372" s="317">
        <f>G373</f>
        <v>22194</v>
      </c>
      <c r="H372" s="317">
        <f>H373</f>
        <v>22194</v>
      </c>
      <c r="I372" s="211"/>
    </row>
    <row r="373" spans="1:9" ht="15.75" x14ac:dyDescent="0.25">
      <c r="A373" s="320" t="s">
        <v>830</v>
      </c>
      <c r="B373" s="314">
        <v>903</v>
      </c>
      <c r="C373" s="316" t="s">
        <v>314</v>
      </c>
      <c r="D373" s="316" t="s">
        <v>133</v>
      </c>
      <c r="E373" s="316" t="s">
        <v>959</v>
      </c>
      <c r="F373" s="316"/>
      <c r="G373" s="321">
        <f>G374+G376+G378</f>
        <v>22194</v>
      </c>
      <c r="H373" s="321">
        <f>H374+H376+H378</f>
        <v>22194</v>
      </c>
      <c r="I373" s="211"/>
    </row>
    <row r="374" spans="1:9" ht="78.75" x14ac:dyDescent="0.25">
      <c r="A374" s="320" t="s">
        <v>142</v>
      </c>
      <c r="B374" s="314">
        <v>903</v>
      </c>
      <c r="C374" s="316" t="s">
        <v>314</v>
      </c>
      <c r="D374" s="316" t="s">
        <v>133</v>
      </c>
      <c r="E374" s="316" t="s">
        <v>959</v>
      </c>
      <c r="F374" s="316" t="s">
        <v>143</v>
      </c>
      <c r="G374" s="321">
        <f>G375</f>
        <v>19218</v>
      </c>
      <c r="H374" s="321">
        <f t="shared" si="26"/>
        <v>19218</v>
      </c>
      <c r="I374" s="211"/>
    </row>
    <row r="375" spans="1:9" ht="15.75" x14ac:dyDescent="0.25">
      <c r="A375" s="320" t="s">
        <v>223</v>
      </c>
      <c r="B375" s="314">
        <v>903</v>
      </c>
      <c r="C375" s="316" t="s">
        <v>314</v>
      </c>
      <c r="D375" s="316" t="s">
        <v>133</v>
      </c>
      <c r="E375" s="316" t="s">
        <v>959</v>
      </c>
      <c r="F375" s="316" t="s">
        <v>224</v>
      </c>
      <c r="G375" s="321">
        <f>19218</f>
        <v>19218</v>
      </c>
      <c r="H375" s="321">
        <f t="shared" si="26"/>
        <v>19218</v>
      </c>
      <c r="I375" s="211"/>
    </row>
    <row r="376" spans="1:9" ht="31.5" x14ac:dyDescent="0.25">
      <c r="A376" s="320" t="s">
        <v>146</v>
      </c>
      <c r="B376" s="314">
        <v>903</v>
      </c>
      <c r="C376" s="316" t="s">
        <v>314</v>
      </c>
      <c r="D376" s="316" t="s">
        <v>133</v>
      </c>
      <c r="E376" s="316" t="s">
        <v>959</v>
      </c>
      <c r="F376" s="316" t="s">
        <v>147</v>
      </c>
      <c r="G376" s="321">
        <f>G377</f>
        <v>2950</v>
      </c>
      <c r="H376" s="321">
        <f t="shared" si="26"/>
        <v>2950</v>
      </c>
      <c r="I376" s="211"/>
    </row>
    <row r="377" spans="1:9" ht="31.5" x14ac:dyDescent="0.25">
      <c r="A377" s="320" t="s">
        <v>148</v>
      </c>
      <c r="B377" s="314">
        <v>903</v>
      </c>
      <c r="C377" s="316" t="s">
        <v>314</v>
      </c>
      <c r="D377" s="316" t="s">
        <v>133</v>
      </c>
      <c r="E377" s="316" t="s">
        <v>959</v>
      </c>
      <c r="F377" s="316" t="s">
        <v>149</v>
      </c>
      <c r="G377" s="321">
        <f>2950</f>
        <v>2950</v>
      </c>
      <c r="H377" s="321">
        <f t="shared" si="26"/>
        <v>2950</v>
      </c>
      <c r="I377" s="211"/>
    </row>
    <row r="378" spans="1:9" ht="15.75" x14ac:dyDescent="0.25">
      <c r="A378" s="320" t="s">
        <v>150</v>
      </c>
      <c r="B378" s="314">
        <v>903</v>
      </c>
      <c r="C378" s="316" t="s">
        <v>314</v>
      </c>
      <c r="D378" s="316" t="s">
        <v>133</v>
      </c>
      <c r="E378" s="316" t="s">
        <v>959</v>
      </c>
      <c r="F378" s="316" t="s">
        <v>160</v>
      </c>
      <c r="G378" s="321">
        <f>G379</f>
        <v>26</v>
      </c>
      <c r="H378" s="321">
        <f t="shared" si="26"/>
        <v>26</v>
      </c>
      <c r="I378" s="211"/>
    </row>
    <row r="379" spans="1:9" ht="15.75" x14ac:dyDescent="0.25">
      <c r="A379" s="320" t="s">
        <v>583</v>
      </c>
      <c r="B379" s="314">
        <v>903</v>
      </c>
      <c r="C379" s="316" t="s">
        <v>314</v>
      </c>
      <c r="D379" s="316" t="s">
        <v>133</v>
      </c>
      <c r="E379" s="316" t="s">
        <v>959</v>
      </c>
      <c r="F379" s="316" t="s">
        <v>153</v>
      </c>
      <c r="G379" s="321">
        <f>26</f>
        <v>26</v>
      </c>
      <c r="H379" s="321">
        <f t="shared" si="26"/>
        <v>26</v>
      </c>
      <c r="I379" s="211"/>
    </row>
    <row r="380" spans="1:9" ht="31.5" x14ac:dyDescent="0.25">
      <c r="A380" s="318" t="s">
        <v>971</v>
      </c>
      <c r="B380" s="315">
        <v>903</v>
      </c>
      <c r="C380" s="319" t="s">
        <v>314</v>
      </c>
      <c r="D380" s="319" t="s">
        <v>133</v>
      </c>
      <c r="E380" s="319" t="s">
        <v>960</v>
      </c>
      <c r="F380" s="319"/>
      <c r="G380" s="317">
        <f t="shared" ref="G380:H382" si="31">G381</f>
        <v>27.754000000000001</v>
      </c>
      <c r="H380" s="317">
        <f t="shared" si="31"/>
        <v>50</v>
      </c>
      <c r="I380" s="211"/>
    </row>
    <row r="381" spans="1:9" ht="31.5" x14ac:dyDescent="0.25">
      <c r="A381" s="320" t="s">
        <v>864</v>
      </c>
      <c r="B381" s="314">
        <v>903</v>
      </c>
      <c r="C381" s="316" t="s">
        <v>314</v>
      </c>
      <c r="D381" s="316" t="s">
        <v>133</v>
      </c>
      <c r="E381" s="316" t="s">
        <v>961</v>
      </c>
      <c r="F381" s="316"/>
      <c r="G381" s="321">
        <f t="shared" si="31"/>
        <v>27.754000000000001</v>
      </c>
      <c r="H381" s="321">
        <f t="shared" si="31"/>
        <v>50</v>
      </c>
      <c r="I381" s="211"/>
    </row>
    <row r="382" spans="1:9" ht="31.5" x14ac:dyDescent="0.25">
      <c r="A382" s="320" t="s">
        <v>146</v>
      </c>
      <c r="B382" s="314">
        <v>903</v>
      </c>
      <c r="C382" s="316" t="s">
        <v>314</v>
      </c>
      <c r="D382" s="316" t="s">
        <v>133</v>
      </c>
      <c r="E382" s="316" t="s">
        <v>961</v>
      </c>
      <c r="F382" s="316" t="s">
        <v>147</v>
      </c>
      <c r="G382" s="321">
        <f t="shared" si="31"/>
        <v>27.754000000000001</v>
      </c>
      <c r="H382" s="321">
        <f t="shared" si="31"/>
        <v>50</v>
      </c>
      <c r="I382" s="211"/>
    </row>
    <row r="383" spans="1:9" ht="31.5" x14ac:dyDescent="0.25">
      <c r="A383" s="320" t="s">
        <v>148</v>
      </c>
      <c r="B383" s="314">
        <v>903</v>
      </c>
      <c r="C383" s="316" t="s">
        <v>314</v>
      </c>
      <c r="D383" s="316" t="s">
        <v>133</v>
      </c>
      <c r="E383" s="316" t="s">
        <v>961</v>
      </c>
      <c r="F383" s="316" t="s">
        <v>149</v>
      </c>
      <c r="G383" s="321">
        <f>50-22.246</f>
        <v>27.754000000000001</v>
      </c>
      <c r="H383" s="321">
        <v>50</v>
      </c>
      <c r="I383" s="211"/>
    </row>
    <row r="384" spans="1:9" ht="31.5" x14ac:dyDescent="0.25">
      <c r="A384" s="318" t="s">
        <v>1074</v>
      </c>
      <c r="B384" s="315">
        <v>903</v>
      </c>
      <c r="C384" s="319" t="s">
        <v>314</v>
      </c>
      <c r="D384" s="319" t="s">
        <v>133</v>
      </c>
      <c r="E384" s="319" t="s">
        <v>962</v>
      </c>
      <c r="F384" s="319"/>
      <c r="G384" s="317">
        <f t="shared" ref="G384:H386" si="32">G385</f>
        <v>507</v>
      </c>
      <c r="H384" s="317">
        <f t="shared" si="32"/>
        <v>507</v>
      </c>
      <c r="I384" s="211"/>
    </row>
    <row r="385" spans="1:11" ht="47.25" x14ac:dyDescent="0.25">
      <c r="A385" s="320" t="s">
        <v>883</v>
      </c>
      <c r="B385" s="314">
        <v>903</v>
      </c>
      <c r="C385" s="316" t="s">
        <v>314</v>
      </c>
      <c r="D385" s="316" t="s">
        <v>133</v>
      </c>
      <c r="E385" s="316" t="s">
        <v>1250</v>
      </c>
      <c r="F385" s="316"/>
      <c r="G385" s="321">
        <f t="shared" si="32"/>
        <v>507</v>
      </c>
      <c r="H385" s="321">
        <f t="shared" si="32"/>
        <v>507</v>
      </c>
      <c r="I385" s="211"/>
    </row>
    <row r="386" spans="1:11" ht="78.75" x14ac:dyDescent="0.25">
      <c r="A386" s="320" t="s">
        <v>142</v>
      </c>
      <c r="B386" s="314">
        <v>903</v>
      </c>
      <c r="C386" s="316" t="s">
        <v>314</v>
      </c>
      <c r="D386" s="316" t="s">
        <v>133</v>
      </c>
      <c r="E386" s="316" t="s">
        <v>1250</v>
      </c>
      <c r="F386" s="316" t="s">
        <v>143</v>
      </c>
      <c r="G386" s="321">
        <f t="shared" si="32"/>
        <v>507</v>
      </c>
      <c r="H386" s="321">
        <f t="shared" si="32"/>
        <v>507</v>
      </c>
      <c r="I386" s="211"/>
    </row>
    <row r="387" spans="1:11" ht="15.75" x14ac:dyDescent="0.25">
      <c r="A387" s="320" t="s">
        <v>223</v>
      </c>
      <c r="B387" s="314">
        <v>903</v>
      </c>
      <c r="C387" s="316" t="s">
        <v>314</v>
      </c>
      <c r="D387" s="316" t="s">
        <v>133</v>
      </c>
      <c r="E387" s="316" t="s">
        <v>1250</v>
      </c>
      <c r="F387" s="316" t="s">
        <v>224</v>
      </c>
      <c r="G387" s="321">
        <f>507</f>
        <v>507</v>
      </c>
      <c r="H387" s="321">
        <f t="shared" si="26"/>
        <v>507</v>
      </c>
      <c r="I387" s="211"/>
    </row>
    <row r="388" spans="1:11" ht="31.5" x14ac:dyDescent="0.25">
      <c r="A388" s="318" t="s">
        <v>1161</v>
      </c>
      <c r="B388" s="315">
        <v>903</v>
      </c>
      <c r="C388" s="319" t="s">
        <v>314</v>
      </c>
      <c r="D388" s="319" t="s">
        <v>133</v>
      </c>
      <c r="E388" s="319" t="s">
        <v>963</v>
      </c>
      <c r="F388" s="319"/>
      <c r="G388" s="317">
        <f>G389+G392</f>
        <v>68.7</v>
      </c>
      <c r="H388" s="317">
        <f>H389+H392</f>
        <v>68.7</v>
      </c>
      <c r="I388" s="211"/>
    </row>
    <row r="389" spans="1:11" ht="15.75" x14ac:dyDescent="0.25">
      <c r="A389" s="320" t="s">
        <v>344</v>
      </c>
      <c r="B389" s="314">
        <v>903</v>
      </c>
      <c r="C389" s="316" t="s">
        <v>314</v>
      </c>
      <c r="D389" s="316" t="s">
        <v>133</v>
      </c>
      <c r="E389" s="316" t="s">
        <v>1251</v>
      </c>
      <c r="F389" s="316"/>
      <c r="G389" s="321">
        <f>G390</f>
        <v>3.5</v>
      </c>
      <c r="H389" s="321">
        <f>H390</f>
        <v>3.5</v>
      </c>
      <c r="I389" s="211"/>
    </row>
    <row r="390" spans="1:11" ht="31.5" x14ac:dyDescent="0.25">
      <c r="A390" s="320" t="s">
        <v>146</v>
      </c>
      <c r="B390" s="314">
        <v>903</v>
      </c>
      <c r="C390" s="316" t="s">
        <v>314</v>
      </c>
      <c r="D390" s="316" t="s">
        <v>133</v>
      </c>
      <c r="E390" s="316" t="s">
        <v>1251</v>
      </c>
      <c r="F390" s="316" t="s">
        <v>147</v>
      </c>
      <c r="G390" s="321">
        <f>G391</f>
        <v>3.5</v>
      </c>
      <c r="H390" s="321">
        <f>H391</f>
        <v>3.5</v>
      </c>
      <c r="I390" s="211"/>
    </row>
    <row r="391" spans="1:11" ht="31.5" x14ac:dyDescent="0.25">
      <c r="A391" s="320" t="s">
        <v>148</v>
      </c>
      <c r="B391" s="314">
        <v>903</v>
      </c>
      <c r="C391" s="316" t="s">
        <v>314</v>
      </c>
      <c r="D391" s="316" t="s">
        <v>133</v>
      </c>
      <c r="E391" s="316" t="s">
        <v>1251</v>
      </c>
      <c r="F391" s="316" t="s">
        <v>149</v>
      </c>
      <c r="G391" s="321">
        <f>3.5</f>
        <v>3.5</v>
      </c>
      <c r="H391" s="321">
        <f t="shared" si="26"/>
        <v>3.5</v>
      </c>
      <c r="I391" s="211"/>
    </row>
    <row r="392" spans="1:11" ht="15.75" x14ac:dyDescent="0.25">
      <c r="A392" s="320" t="s">
        <v>344</v>
      </c>
      <c r="B392" s="314">
        <v>903</v>
      </c>
      <c r="C392" s="316" t="s">
        <v>314</v>
      </c>
      <c r="D392" s="316" t="s">
        <v>133</v>
      </c>
      <c r="E392" s="316" t="s">
        <v>1252</v>
      </c>
      <c r="F392" s="316"/>
      <c r="G392" s="321">
        <f>G393</f>
        <v>65.2</v>
      </c>
      <c r="H392" s="321">
        <f>H393</f>
        <v>65.2</v>
      </c>
      <c r="I392" s="211"/>
    </row>
    <row r="393" spans="1:11" ht="31.5" x14ac:dyDescent="0.25">
      <c r="A393" s="320" t="s">
        <v>146</v>
      </c>
      <c r="B393" s="314">
        <v>903</v>
      </c>
      <c r="C393" s="316" t="s">
        <v>314</v>
      </c>
      <c r="D393" s="316" t="s">
        <v>133</v>
      </c>
      <c r="E393" s="316" t="s">
        <v>1252</v>
      </c>
      <c r="F393" s="316" t="s">
        <v>147</v>
      </c>
      <c r="G393" s="321">
        <f>G394</f>
        <v>65.2</v>
      </c>
      <c r="H393" s="321">
        <f>H394</f>
        <v>65.2</v>
      </c>
      <c r="I393" s="211"/>
    </row>
    <row r="394" spans="1:11" ht="31.5" x14ac:dyDescent="0.25">
      <c r="A394" s="320" t="s">
        <v>148</v>
      </c>
      <c r="B394" s="314">
        <v>903</v>
      </c>
      <c r="C394" s="316" t="s">
        <v>314</v>
      </c>
      <c r="D394" s="316" t="s">
        <v>133</v>
      </c>
      <c r="E394" s="316" t="s">
        <v>1252</v>
      </c>
      <c r="F394" s="38">
        <v>240</v>
      </c>
      <c r="G394" s="321">
        <f>65.2</f>
        <v>65.2</v>
      </c>
      <c r="H394" s="321">
        <f t="shared" si="26"/>
        <v>65.2</v>
      </c>
      <c r="I394" s="211"/>
    </row>
    <row r="395" spans="1:11" ht="47.25" x14ac:dyDescent="0.25">
      <c r="A395" s="223" t="s">
        <v>969</v>
      </c>
      <c r="B395" s="315">
        <v>903</v>
      </c>
      <c r="C395" s="319" t="s">
        <v>314</v>
      </c>
      <c r="D395" s="319" t="s">
        <v>133</v>
      </c>
      <c r="E395" s="319" t="s">
        <v>1253</v>
      </c>
      <c r="F395" s="319"/>
      <c r="G395" s="317">
        <f>G399+G402+G396</f>
        <v>1596</v>
      </c>
      <c r="H395" s="317">
        <f>H399+H402+H396</f>
        <v>1596</v>
      </c>
      <c r="I395" s="211"/>
    </row>
    <row r="396" spans="1:11" s="309" customFormat="1" ht="94.5" x14ac:dyDescent="0.25">
      <c r="A396" s="31" t="s">
        <v>308</v>
      </c>
      <c r="B396" s="314">
        <v>903</v>
      </c>
      <c r="C396" s="316" t="s">
        <v>314</v>
      </c>
      <c r="D396" s="316" t="s">
        <v>133</v>
      </c>
      <c r="E396" s="316" t="s">
        <v>1512</v>
      </c>
      <c r="F396" s="316"/>
      <c r="G396" s="321">
        <f>G397</f>
        <v>1276.3</v>
      </c>
      <c r="H396" s="321">
        <f t="shared" ref="H396:K397" si="33">H397</f>
        <v>1276.3</v>
      </c>
      <c r="I396" s="321">
        <f t="shared" si="33"/>
        <v>0</v>
      </c>
      <c r="J396" s="321">
        <f t="shared" si="33"/>
        <v>0</v>
      </c>
      <c r="K396" s="321">
        <f t="shared" si="33"/>
        <v>0</v>
      </c>
    </row>
    <row r="397" spans="1:11" s="309" customFormat="1" ht="78.75" x14ac:dyDescent="0.25">
      <c r="A397" s="320" t="s">
        <v>142</v>
      </c>
      <c r="B397" s="314">
        <v>903</v>
      </c>
      <c r="C397" s="316" t="s">
        <v>314</v>
      </c>
      <c r="D397" s="316" t="s">
        <v>133</v>
      </c>
      <c r="E397" s="316" t="s">
        <v>1512</v>
      </c>
      <c r="F397" s="316" t="s">
        <v>143</v>
      </c>
      <c r="G397" s="321">
        <f>G398</f>
        <v>1276.3</v>
      </c>
      <c r="H397" s="321">
        <f t="shared" si="33"/>
        <v>1276.3</v>
      </c>
      <c r="I397" s="321">
        <f t="shared" si="33"/>
        <v>0</v>
      </c>
      <c r="J397" s="321">
        <f t="shared" si="33"/>
        <v>0</v>
      </c>
      <c r="K397" s="321">
        <f t="shared" si="33"/>
        <v>0</v>
      </c>
    </row>
    <row r="398" spans="1:11" s="309" customFormat="1" ht="15.75" x14ac:dyDescent="0.25">
      <c r="A398" s="320" t="s">
        <v>223</v>
      </c>
      <c r="B398" s="314">
        <v>903</v>
      </c>
      <c r="C398" s="316" t="s">
        <v>314</v>
      </c>
      <c r="D398" s="316" t="s">
        <v>133</v>
      </c>
      <c r="E398" s="316" t="s">
        <v>1512</v>
      </c>
      <c r="F398" s="316" t="s">
        <v>224</v>
      </c>
      <c r="G398" s="321">
        <v>1276.3</v>
      </c>
      <c r="H398" s="321">
        <v>1276.3</v>
      </c>
      <c r="I398" s="310"/>
    </row>
    <row r="399" spans="1:11" ht="78.75" x14ac:dyDescent="0.25">
      <c r="A399" s="320" t="s">
        <v>346</v>
      </c>
      <c r="B399" s="314">
        <v>903</v>
      </c>
      <c r="C399" s="316" t="s">
        <v>314</v>
      </c>
      <c r="D399" s="316" t="s">
        <v>133</v>
      </c>
      <c r="E399" s="316" t="s">
        <v>1254</v>
      </c>
      <c r="F399" s="316"/>
      <c r="G399" s="321">
        <f>G400</f>
        <v>319.7</v>
      </c>
      <c r="H399" s="321">
        <f>H400</f>
        <v>319.7</v>
      </c>
      <c r="I399" s="211"/>
    </row>
    <row r="400" spans="1:11" ht="78.75" x14ac:dyDescent="0.25">
      <c r="A400" s="320" t="s">
        <v>142</v>
      </c>
      <c r="B400" s="314">
        <v>903</v>
      </c>
      <c r="C400" s="316" t="s">
        <v>314</v>
      </c>
      <c r="D400" s="316" t="s">
        <v>133</v>
      </c>
      <c r="E400" s="316" t="s">
        <v>1254</v>
      </c>
      <c r="F400" s="316" t="s">
        <v>143</v>
      </c>
      <c r="G400" s="321">
        <f>G401</f>
        <v>319.7</v>
      </c>
      <c r="H400" s="321">
        <f>H401</f>
        <v>319.7</v>
      </c>
      <c r="I400" s="211"/>
    </row>
    <row r="401" spans="1:9" ht="15.75" x14ac:dyDescent="0.25">
      <c r="A401" s="320" t="s">
        <v>223</v>
      </c>
      <c r="B401" s="314">
        <v>903</v>
      </c>
      <c r="C401" s="316" t="s">
        <v>314</v>
      </c>
      <c r="D401" s="316" t="s">
        <v>133</v>
      </c>
      <c r="E401" s="316" t="s">
        <v>1254</v>
      </c>
      <c r="F401" s="316" t="s">
        <v>224</v>
      </c>
      <c r="G401" s="321">
        <f>319.7</f>
        <v>319.7</v>
      </c>
      <c r="H401" s="321">
        <f t="shared" si="26"/>
        <v>319.7</v>
      </c>
      <c r="I401" s="211"/>
    </row>
    <row r="402" spans="1:9" ht="94.5" hidden="1" x14ac:dyDescent="0.25">
      <c r="A402" s="31" t="s">
        <v>308</v>
      </c>
      <c r="B402" s="314">
        <v>903</v>
      </c>
      <c r="C402" s="316" t="s">
        <v>314</v>
      </c>
      <c r="D402" s="316" t="s">
        <v>133</v>
      </c>
      <c r="E402" s="316" t="s">
        <v>1255</v>
      </c>
      <c r="F402" s="316"/>
      <c r="G402" s="321">
        <f>G403</f>
        <v>0</v>
      </c>
      <c r="H402" s="321">
        <f>H403</f>
        <v>0</v>
      </c>
      <c r="I402" s="211"/>
    </row>
    <row r="403" spans="1:9" ht="78.75" hidden="1" x14ac:dyDescent="0.25">
      <c r="A403" s="320" t="s">
        <v>142</v>
      </c>
      <c r="B403" s="314">
        <v>903</v>
      </c>
      <c r="C403" s="316" t="s">
        <v>314</v>
      </c>
      <c r="D403" s="316" t="s">
        <v>133</v>
      </c>
      <c r="E403" s="316" t="s">
        <v>1255</v>
      </c>
      <c r="F403" s="316" t="s">
        <v>143</v>
      </c>
      <c r="G403" s="321">
        <f>G404</f>
        <v>0</v>
      </c>
      <c r="H403" s="321">
        <f>H404</f>
        <v>0</v>
      </c>
      <c r="I403" s="211"/>
    </row>
    <row r="404" spans="1:9" ht="15.75" hidden="1" x14ac:dyDescent="0.25">
      <c r="A404" s="320" t="s">
        <v>223</v>
      </c>
      <c r="B404" s="314">
        <v>903</v>
      </c>
      <c r="C404" s="316" t="s">
        <v>314</v>
      </c>
      <c r="D404" s="316" t="s">
        <v>133</v>
      </c>
      <c r="E404" s="316" t="s">
        <v>1255</v>
      </c>
      <c r="F404" s="316" t="s">
        <v>224</v>
      </c>
      <c r="G404" s="321"/>
      <c r="H404" s="321">
        <f t="shared" si="26"/>
        <v>0</v>
      </c>
      <c r="I404" s="268">
        <f>12177.1/11326*1000</f>
        <v>1075.1456825004416</v>
      </c>
    </row>
    <row r="405" spans="1:9" ht="63" hidden="1" x14ac:dyDescent="0.25">
      <c r="A405" s="34" t="s">
        <v>803</v>
      </c>
      <c r="B405" s="315">
        <v>903</v>
      </c>
      <c r="C405" s="319" t="s">
        <v>314</v>
      </c>
      <c r="D405" s="319" t="s">
        <v>133</v>
      </c>
      <c r="E405" s="319" t="s">
        <v>339</v>
      </c>
      <c r="F405" s="319"/>
      <c r="G405" s="317">
        <f>G407</f>
        <v>0</v>
      </c>
      <c r="H405" s="317">
        <f>H407</f>
        <v>0</v>
      </c>
      <c r="I405" s="211"/>
    </row>
    <row r="406" spans="1:9" ht="63" hidden="1" x14ac:dyDescent="0.25">
      <c r="A406" s="34" t="s">
        <v>1189</v>
      </c>
      <c r="B406" s="315">
        <v>903</v>
      </c>
      <c r="C406" s="319" t="s">
        <v>314</v>
      </c>
      <c r="D406" s="319" t="s">
        <v>133</v>
      </c>
      <c r="E406" s="319" t="s">
        <v>1023</v>
      </c>
      <c r="F406" s="319"/>
      <c r="G406" s="317">
        <f>G409</f>
        <v>0</v>
      </c>
      <c r="H406" s="317">
        <f>H409</f>
        <v>0</v>
      </c>
      <c r="I406" s="211"/>
    </row>
    <row r="407" spans="1:9" ht="47.25" hidden="1" x14ac:dyDescent="0.25">
      <c r="A407" s="31" t="s">
        <v>1271</v>
      </c>
      <c r="B407" s="314">
        <v>903</v>
      </c>
      <c r="C407" s="316" t="s">
        <v>314</v>
      </c>
      <c r="D407" s="316" t="s">
        <v>133</v>
      </c>
      <c r="E407" s="316" t="s">
        <v>1190</v>
      </c>
      <c r="F407" s="316"/>
      <c r="G407" s="321">
        <f>G408</f>
        <v>0</v>
      </c>
      <c r="H407" s="321">
        <f>H408</f>
        <v>0</v>
      </c>
      <c r="I407" s="211"/>
    </row>
    <row r="408" spans="1:9" ht="31.5" hidden="1" x14ac:dyDescent="0.25">
      <c r="A408" s="320" t="s">
        <v>146</v>
      </c>
      <c r="B408" s="314">
        <v>903</v>
      </c>
      <c r="C408" s="316" t="s">
        <v>314</v>
      </c>
      <c r="D408" s="316" t="s">
        <v>133</v>
      </c>
      <c r="E408" s="316" t="s">
        <v>1190</v>
      </c>
      <c r="F408" s="316" t="s">
        <v>147</v>
      </c>
      <c r="G408" s="321">
        <f>G409</f>
        <v>0</v>
      </c>
      <c r="H408" s="321">
        <f>H409</f>
        <v>0</v>
      </c>
      <c r="I408" s="211"/>
    </row>
    <row r="409" spans="1:9" ht="31.5" hidden="1" x14ac:dyDescent="0.25">
      <c r="A409" s="320" t="s">
        <v>148</v>
      </c>
      <c r="B409" s="314">
        <v>903</v>
      </c>
      <c r="C409" s="316" t="s">
        <v>314</v>
      </c>
      <c r="D409" s="316" t="s">
        <v>133</v>
      </c>
      <c r="E409" s="316" t="s">
        <v>1190</v>
      </c>
      <c r="F409" s="316" t="s">
        <v>149</v>
      </c>
      <c r="G409" s="321">
        <v>0</v>
      </c>
      <c r="H409" s="321">
        <v>0</v>
      </c>
      <c r="I409" s="211"/>
    </row>
    <row r="410" spans="1:9" ht="63" x14ac:dyDescent="0.25">
      <c r="A410" s="41" t="s">
        <v>1417</v>
      </c>
      <c r="B410" s="315">
        <v>903</v>
      </c>
      <c r="C410" s="319" t="s">
        <v>314</v>
      </c>
      <c r="D410" s="319" t="s">
        <v>133</v>
      </c>
      <c r="E410" s="319" t="s">
        <v>726</v>
      </c>
      <c r="F410" s="228"/>
      <c r="G410" s="317">
        <f t="shared" ref="G410:H413" si="34">G411</f>
        <v>793.2</v>
      </c>
      <c r="H410" s="317">
        <f t="shared" si="34"/>
        <v>793.2</v>
      </c>
      <c r="I410" s="211"/>
    </row>
    <row r="411" spans="1:9" ht="47.25" x14ac:dyDescent="0.25">
      <c r="A411" s="41" t="s">
        <v>947</v>
      </c>
      <c r="B411" s="315">
        <v>903</v>
      </c>
      <c r="C411" s="319" t="s">
        <v>314</v>
      </c>
      <c r="D411" s="319" t="s">
        <v>133</v>
      </c>
      <c r="E411" s="319" t="s">
        <v>945</v>
      </c>
      <c r="F411" s="228"/>
      <c r="G411" s="317">
        <f t="shared" si="34"/>
        <v>793.2</v>
      </c>
      <c r="H411" s="317">
        <f t="shared" si="34"/>
        <v>793.2</v>
      </c>
      <c r="I411" s="211"/>
    </row>
    <row r="412" spans="1:9" ht="47.25" x14ac:dyDescent="0.25">
      <c r="A412" s="99" t="s">
        <v>1185</v>
      </c>
      <c r="B412" s="314">
        <v>903</v>
      </c>
      <c r="C412" s="316" t="s">
        <v>314</v>
      </c>
      <c r="D412" s="316" t="s">
        <v>133</v>
      </c>
      <c r="E412" s="316" t="s">
        <v>946</v>
      </c>
      <c r="F412" s="32"/>
      <c r="G412" s="321">
        <f t="shared" si="34"/>
        <v>793.2</v>
      </c>
      <c r="H412" s="321">
        <f t="shared" si="34"/>
        <v>793.2</v>
      </c>
      <c r="I412" s="211"/>
    </row>
    <row r="413" spans="1:9" ht="31.5" x14ac:dyDescent="0.25">
      <c r="A413" s="320" t="s">
        <v>146</v>
      </c>
      <c r="B413" s="314">
        <v>903</v>
      </c>
      <c r="C413" s="316" t="s">
        <v>314</v>
      </c>
      <c r="D413" s="316" t="s">
        <v>133</v>
      </c>
      <c r="E413" s="316" t="s">
        <v>946</v>
      </c>
      <c r="F413" s="32" t="s">
        <v>147</v>
      </c>
      <c r="G413" s="321">
        <f t="shared" si="34"/>
        <v>793.2</v>
      </c>
      <c r="H413" s="321">
        <f t="shared" si="34"/>
        <v>793.2</v>
      </c>
      <c r="I413" s="211"/>
    </row>
    <row r="414" spans="1:9" ht="31.5" x14ac:dyDescent="0.25">
      <c r="A414" s="320" t="s">
        <v>148</v>
      </c>
      <c r="B414" s="314">
        <v>903</v>
      </c>
      <c r="C414" s="316" t="s">
        <v>314</v>
      </c>
      <c r="D414" s="316" t="s">
        <v>133</v>
      </c>
      <c r="E414" s="316" t="s">
        <v>946</v>
      </c>
      <c r="F414" s="32" t="s">
        <v>149</v>
      </c>
      <c r="G414" s="321">
        <f>793.2</f>
        <v>793.2</v>
      </c>
      <c r="H414" s="321">
        <f t="shared" si="26"/>
        <v>793.2</v>
      </c>
      <c r="I414" s="211"/>
    </row>
    <row r="415" spans="1:9" ht="31.5" x14ac:dyDescent="0.25">
      <c r="A415" s="318" t="s">
        <v>348</v>
      </c>
      <c r="B415" s="315">
        <v>903</v>
      </c>
      <c r="C415" s="319" t="s">
        <v>314</v>
      </c>
      <c r="D415" s="319" t="s">
        <v>165</v>
      </c>
      <c r="E415" s="319"/>
      <c r="F415" s="319"/>
      <c r="G415" s="317">
        <f>G416+G426+G438</f>
        <v>17339</v>
      </c>
      <c r="H415" s="317">
        <f>H416+H426+H438</f>
        <v>17339</v>
      </c>
      <c r="I415" s="211"/>
    </row>
    <row r="416" spans="1:9" ht="31.5" x14ac:dyDescent="0.25">
      <c r="A416" s="318" t="s">
        <v>988</v>
      </c>
      <c r="B416" s="315">
        <v>903</v>
      </c>
      <c r="C416" s="319" t="s">
        <v>314</v>
      </c>
      <c r="D416" s="319" t="s">
        <v>165</v>
      </c>
      <c r="E416" s="319" t="s">
        <v>902</v>
      </c>
      <c r="F416" s="319"/>
      <c r="G416" s="317">
        <f>G417</f>
        <v>6870</v>
      </c>
      <c r="H416" s="317">
        <f>H417</f>
        <v>6870</v>
      </c>
      <c r="I416" s="211"/>
    </row>
    <row r="417" spans="1:9" ht="15.75" x14ac:dyDescent="0.25">
      <c r="A417" s="318" t="s">
        <v>989</v>
      </c>
      <c r="B417" s="315">
        <v>903</v>
      </c>
      <c r="C417" s="319" t="s">
        <v>314</v>
      </c>
      <c r="D417" s="319" t="s">
        <v>165</v>
      </c>
      <c r="E417" s="319" t="s">
        <v>903</v>
      </c>
      <c r="F417" s="319"/>
      <c r="G417" s="317">
        <f>G418+G423</f>
        <v>6870</v>
      </c>
      <c r="H417" s="317">
        <f>H418+H423</f>
        <v>6870</v>
      </c>
      <c r="I417" s="211"/>
    </row>
    <row r="418" spans="1:9" ht="31.5" x14ac:dyDescent="0.25">
      <c r="A418" s="320" t="s">
        <v>965</v>
      </c>
      <c r="B418" s="314">
        <v>903</v>
      </c>
      <c r="C418" s="316" t="s">
        <v>314</v>
      </c>
      <c r="D418" s="316" t="s">
        <v>165</v>
      </c>
      <c r="E418" s="316" t="s">
        <v>904</v>
      </c>
      <c r="F418" s="316"/>
      <c r="G418" s="321">
        <f>G419</f>
        <v>6744</v>
      </c>
      <c r="H418" s="321">
        <f>H419</f>
        <v>6744</v>
      </c>
      <c r="I418" s="211"/>
    </row>
    <row r="419" spans="1:9" ht="78.75" x14ac:dyDescent="0.25">
      <c r="A419" s="320" t="s">
        <v>142</v>
      </c>
      <c r="B419" s="314">
        <v>903</v>
      </c>
      <c r="C419" s="316" t="s">
        <v>314</v>
      </c>
      <c r="D419" s="316" t="s">
        <v>165</v>
      </c>
      <c r="E419" s="316" t="s">
        <v>904</v>
      </c>
      <c r="F419" s="316" t="s">
        <v>143</v>
      </c>
      <c r="G419" s="321">
        <f>G420</f>
        <v>6744</v>
      </c>
      <c r="H419" s="321">
        <f>H420</f>
        <v>6744</v>
      </c>
      <c r="I419" s="211"/>
    </row>
    <row r="420" spans="1:9" ht="31.5" x14ac:dyDescent="0.25">
      <c r="A420" s="320" t="s">
        <v>144</v>
      </c>
      <c r="B420" s="314">
        <v>903</v>
      </c>
      <c r="C420" s="316" t="s">
        <v>314</v>
      </c>
      <c r="D420" s="316" t="s">
        <v>165</v>
      </c>
      <c r="E420" s="316" t="s">
        <v>904</v>
      </c>
      <c r="F420" s="316" t="s">
        <v>145</v>
      </c>
      <c r="G420" s="321">
        <f>6744</f>
        <v>6744</v>
      </c>
      <c r="H420" s="321">
        <f t="shared" ref="H420:H503" si="35">G420</f>
        <v>6744</v>
      </c>
      <c r="I420" s="211"/>
    </row>
    <row r="421" spans="1:9" ht="31.5" hidden="1" x14ac:dyDescent="0.25">
      <c r="A421" s="320" t="s">
        <v>146</v>
      </c>
      <c r="B421" s="314">
        <v>903</v>
      </c>
      <c r="C421" s="316" t="s">
        <v>314</v>
      </c>
      <c r="D421" s="316" t="s">
        <v>165</v>
      </c>
      <c r="E421" s="316" t="s">
        <v>904</v>
      </c>
      <c r="F421" s="316" t="s">
        <v>147</v>
      </c>
      <c r="G421" s="321">
        <f>'Пр.4 ведом.20'!G446</f>
        <v>0</v>
      </c>
      <c r="H421" s="321">
        <f t="shared" si="35"/>
        <v>0</v>
      </c>
      <c r="I421" s="211"/>
    </row>
    <row r="422" spans="1:9" ht="31.5" hidden="1" x14ac:dyDescent="0.25">
      <c r="A422" s="320" t="s">
        <v>148</v>
      </c>
      <c r="B422" s="314">
        <v>903</v>
      </c>
      <c r="C422" s="316" t="s">
        <v>314</v>
      </c>
      <c r="D422" s="316" t="s">
        <v>165</v>
      </c>
      <c r="E422" s="316" t="s">
        <v>904</v>
      </c>
      <c r="F422" s="316" t="s">
        <v>149</v>
      </c>
      <c r="G422" s="321">
        <f>'Пр.4 ведом.20'!G447</f>
        <v>0</v>
      </c>
      <c r="H422" s="321">
        <f t="shared" si="35"/>
        <v>0</v>
      </c>
      <c r="I422" s="211"/>
    </row>
    <row r="423" spans="1:9" ht="47.25" x14ac:dyDescent="0.25">
      <c r="A423" s="320" t="s">
        <v>883</v>
      </c>
      <c r="B423" s="314">
        <v>903</v>
      </c>
      <c r="C423" s="316" t="s">
        <v>314</v>
      </c>
      <c r="D423" s="316" t="s">
        <v>165</v>
      </c>
      <c r="E423" s="316" t="s">
        <v>906</v>
      </c>
      <c r="F423" s="316"/>
      <c r="G423" s="321">
        <f>G424</f>
        <v>126</v>
      </c>
      <c r="H423" s="321">
        <f>H424</f>
        <v>126</v>
      </c>
      <c r="I423" s="211"/>
    </row>
    <row r="424" spans="1:9" ht="78.75" x14ac:dyDescent="0.25">
      <c r="A424" s="320" t="s">
        <v>142</v>
      </c>
      <c r="B424" s="314">
        <v>903</v>
      </c>
      <c r="C424" s="316" t="s">
        <v>314</v>
      </c>
      <c r="D424" s="316" t="s">
        <v>165</v>
      </c>
      <c r="E424" s="316" t="s">
        <v>906</v>
      </c>
      <c r="F424" s="316" t="s">
        <v>143</v>
      </c>
      <c r="G424" s="321">
        <f>G425</f>
        <v>126</v>
      </c>
      <c r="H424" s="321">
        <f>H425</f>
        <v>126</v>
      </c>
      <c r="I424" s="211"/>
    </row>
    <row r="425" spans="1:9" ht="31.5" x14ac:dyDescent="0.25">
      <c r="A425" s="320" t="s">
        <v>144</v>
      </c>
      <c r="B425" s="314">
        <v>903</v>
      </c>
      <c r="C425" s="316" t="s">
        <v>314</v>
      </c>
      <c r="D425" s="316" t="s">
        <v>165</v>
      </c>
      <c r="E425" s="316" t="s">
        <v>906</v>
      </c>
      <c r="F425" s="316" t="s">
        <v>145</v>
      </c>
      <c r="G425" s="321">
        <f>126</f>
        <v>126</v>
      </c>
      <c r="H425" s="321">
        <f t="shared" si="35"/>
        <v>126</v>
      </c>
      <c r="I425" s="211"/>
    </row>
    <row r="426" spans="1:9" ht="15.75" x14ac:dyDescent="0.25">
      <c r="A426" s="318" t="s">
        <v>997</v>
      </c>
      <c r="B426" s="315">
        <v>903</v>
      </c>
      <c r="C426" s="319" t="s">
        <v>314</v>
      </c>
      <c r="D426" s="319" t="s">
        <v>165</v>
      </c>
      <c r="E426" s="319" t="s">
        <v>910</v>
      </c>
      <c r="F426" s="319"/>
      <c r="G426" s="317">
        <f>G427</f>
        <v>10209</v>
      </c>
      <c r="H426" s="317">
        <f>H427</f>
        <v>10209</v>
      </c>
      <c r="I426" s="211"/>
    </row>
    <row r="427" spans="1:9" ht="31.5" x14ac:dyDescent="0.25">
      <c r="A427" s="318" t="s">
        <v>1000</v>
      </c>
      <c r="B427" s="315">
        <v>903</v>
      </c>
      <c r="C427" s="319" t="s">
        <v>314</v>
      </c>
      <c r="D427" s="319" t="s">
        <v>165</v>
      </c>
      <c r="E427" s="319" t="s">
        <v>985</v>
      </c>
      <c r="F427" s="319"/>
      <c r="G427" s="317">
        <f>G428+G435</f>
        <v>10209</v>
      </c>
      <c r="H427" s="317">
        <f>H428+H435</f>
        <v>10209</v>
      </c>
      <c r="I427" s="211"/>
    </row>
    <row r="428" spans="1:9" ht="31.5" x14ac:dyDescent="0.25">
      <c r="A428" s="320" t="s">
        <v>972</v>
      </c>
      <c r="B428" s="314">
        <v>903</v>
      </c>
      <c r="C428" s="316" t="s">
        <v>314</v>
      </c>
      <c r="D428" s="316" t="s">
        <v>165</v>
      </c>
      <c r="E428" s="316" t="s">
        <v>986</v>
      </c>
      <c r="F428" s="316"/>
      <c r="G428" s="321">
        <f>G429+G431+G433</f>
        <v>9999</v>
      </c>
      <c r="H428" s="321">
        <f>H429+H431+H433</f>
        <v>9999</v>
      </c>
      <c r="I428" s="211"/>
    </row>
    <row r="429" spans="1:9" ht="78.75" x14ac:dyDescent="0.25">
      <c r="A429" s="320" t="s">
        <v>142</v>
      </c>
      <c r="B429" s="314">
        <v>903</v>
      </c>
      <c r="C429" s="316" t="s">
        <v>314</v>
      </c>
      <c r="D429" s="316" t="s">
        <v>165</v>
      </c>
      <c r="E429" s="316" t="s">
        <v>986</v>
      </c>
      <c r="F429" s="316" t="s">
        <v>143</v>
      </c>
      <c r="G429" s="321">
        <f>G430</f>
        <v>8048</v>
      </c>
      <c r="H429" s="321">
        <f>H430</f>
        <v>8048</v>
      </c>
      <c r="I429" s="211"/>
    </row>
    <row r="430" spans="1:9" ht="31.5" x14ac:dyDescent="0.25">
      <c r="A430" s="320" t="s">
        <v>357</v>
      </c>
      <c r="B430" s="314">
        <v>903</v>
      </c>
      <c r="C430" s="316" t="s">
        <v>314</v>
      </c>
      <c r="D430" s="316" t="s">
        <v>165</v>
      </c>
      <c r="E430" s="316" t="s">
        <v>986</v>
      </c>
      <c r="F430" s="316" t="s">
        <v>224</v>
      </c>
      <c r="G430" s="321">
        <f>8048</f>
        <v>8048</v>
      </c>
      <c r="H430" s="321">
        <f t="shared" si="35"/>
        <v>8048</v>
      </c>
      <c r="I430" s="211"/>
    </row>
    <row r="431" spans="1:9" ht="31.5" x14ac:dyDescent="0.25">
      <c r="A431" s="320" t="s">
        <v>146</v>
      </c>
      <c r="B431" s="314">
        <v>903</v>
      </c>
      <c r="C431" s="316" t="s">
        <v>314</v>
      </c>
      <c r="D431" s="316" t="s">
        <v>165</v>
      </c>
      <c r="E431" s="316" t="s">
        <v>986</v>
      </c>
      <c r="F431" s="316" t="s">
        <v>147</v>
      </c>
      <c r="G431" s="321">
        <f>G432</f>
        <v>1937</v>
      </c>
      <c r="H431" s="321">
        <f>H432</f>
        <v>1937</v>
      </c>
      <c r="I431" s="211"/>
    </row>
    <row r="432" spans="1:9" ht="31.5" x14ac:dyDescent="0.25">
      <c r="A432" s="320" t="s">
        <v>148</v>
      </c>
      <c r="B432" s="314">
        <v>903</v>
      </c>
      <c r="C432" s="316" t="s">
        <v>314</v>
      </c>
      <c r="D432" s="316" t="s">
        <v>165</v>
      </c>
      <c r="E432" s="316" t="s">
        <v>986</v>
      </c>
      <c r="F432" s="316" t="s">
        <v>149</v>
      </c>
      <c r="G432" s="321">
        <f>1937</f>
        <v>1937</v>
      </c>
      <c r="H432" s="321">
        <f t="shared" si="35"/>
        <v>1937</v>
      </c>
      <c r="I432" s="211"/>
    </row>
    <row r="433" spans="1:9" ht="15.75" x14ac:dyDescent="0.25">
      <c r="A433" s="320" t="s">
        <v>150</v>
      </c>
      <c r="B433" s="314">
        <v>903</v>
      </c>
      <c r="C433" s="316" t="s">
        <v>314</v>
      </c>
      <c r="D433" s="316" t="s">
        <v>165</v>
      </c>
      <c r="E433" s="316" t="s">
        <v>986</v>
      </c>
      <c r="F433" s="316" t="s">
        <v>160</v>
      </c>
      <c r="G433" s="321">
        <f>G434</f>
        <v>14</v>
      </c>
      <c r="H433" s="321">
        <f>H434</f>
        <v>14</v>
      </c>
      <c r="I433" s="211"/>
    </row>
    <row r="434" spans="1:9" ht="15.75" x14ac:dyDescent="0.25">
      <c r="A434" s="320" t="s">
        <v>583</v>
      </c>
      <c r="B434" s="314">
        <v>903</v>
      </c>
      <c r="C434" s="316" t="s">
        <v>314</v>
      </c>
      <c r="D434" s="316" t="s">
        <v>165</v>
      </c>
      <c r="E434" s="316" t="s">
        <v>986</v>
      </c>
      <c r="F434" s="316" t="s">
        <v>153</v>
      </c>
      <c r="G434" s="321">
        <f>14</f>
        <v>14</v>
      </c>
      <c r="H434" s="321">
        <f t="shared" si="35"/>
        <v>14</v>
      </c>
      <c r="I434" s="211"/>
    </row>
    <row r="435" spans="1:9" ht="47.25" x14ac:dyDescent="0.25">
      <c r="A435" s="320" t="s">
        <v>883</v>
      </c>
      <c r="B435" s="314">
        <v>903</v>
      </c>
      <c r="C435" s="316" t="s">
        <v>314</v>
      </c>
      <c r="D435" s="316" t="s">
        <v>165</v>
      </c>
      <c r="E435" s="316" t="s">
        <v>987</v>
      </c>
      <c r="F435" s="316"/>
      <c r="G435" s="321">
        <f>G436</f>
        <v>210</v>
      </c>
      <c r="H435" s="321">
        <f>H436</f>
        <v>210</v>
      </c>
      <c r="I435" s="211"/>
    </row>
    <row r="436" spans="1:9" ht="78.75" x14ac:dyDescent="0.25">
      <c r="A436" s="320" t="s">
        <v>142</v>
      </c>
      <c r="B436" s="314">
        <v>903</v>
      </c>
      <c r="C436" s="316" t="s">
        <v>314</v>
      </c>
      <c r="D436" s="316" t="s">
        <v>165</v>
      </c>
      <c r="E436" s="316" t="s">
        <v>987</v>
      </c>
      <c r="F436" s="316" t="s">
        <v>143</v>
      </c>
      <c r="G436" s="321">
        <f>G437</f>
        <v>210</v>
      </c>
      <c r="H436" s="321">
        <f>H437</f>
        <v>210</v>
      </c>
      <c r="I436" s="211"/>
    </row>
    <row r="437" spans="1:9" ht="25.5" customHeight="1" x14ac:dyDescent="0.25">
      <c r="A437" s="320" t="s">
        <v>357</v>
      </c>
      <c r="B437" s="314">
        <v>903</v>
      </c>
      <c r="C437" s="316" t="s">
        <v>314</v>
      </c>
      <c r="D437" s="316" t="s">
        <v>165</v>
      </c>
      <c r="E437" s="316" t="s">
        <v>987</v>
      </c>
      <c r="F437" s="316" t="s">
        <v>224</v>
      </c>
      <c r="G437" s="321">
        <f>210</f>
        <v>210</v>
      </c>
      <c r="H437" s="321">
        <f t="shared" si="35"/>
        <v>210</v>
      </c>
      <c r="I437" s="211"/>
    </row>
    <row r="438" spans="1:9" ht="47.25" x14ac:dyDescent="0.25">
      <c r="A438" s="318" t="s">
        <v>1415</v>
      </c>
      <c r="B438" s="315">
        <v>903</v>
      </c>
      <c r="C438" s="319" t="s">
        <v>314</v>
      </c>
      <c r="D438" s="319" t="s">
        <v>165</v>
      </c>
      <c r="E438" s="319" t="s">
        <v>359</v>
      </c>
      <c r="F438" s="319"/>
      <c r="G438" s="317">
        <f t="shared" ref="G438:H440" si="36">G439</f>
        <v>260</v>
      </c>
      <c r="H438" s="317">
        <f t="shared" si="36"/>
        <v>260</v>
      </c>
      <c r="I438" s="211"/>
    </row>
    <row r="439" spans="1:9" ht="47.25" x14ac:dyDescent="0.25">
      <c r="A439" s="318" t="s">
        <v>379</v>
      </c>
      <c r="B439" s="315">
        <v>903</v>
      </c>
      <c r="C439" s="319" t="s">
        <v>314</v>
      </c>
      <c r="D439" s="319" t="s">
        <v>165</v>
      </c>
      <c r="E439" s="319" t="s">
        <v>380</v>
      </c>
      <c r="F439" s="319"/>
      <c r="G439" s="317">
        <f t="shared" si="36"/>
        <v>260</v>
      </c>
      <c r="H439" s="317">
        <f t="shared" si="36"/>
        <v>260</v>
      </c>
      <c r="I439" s="211"/>
    </row>
    <row r="440" spans="1:9" ht="31.5" x14ac:dyDescent="0.25">
      <c r="A440" s="318" t="s">
        <v>1145</v>
      </c>
      <c r="B440" s="315">
        <v>903</v>
      </c>
      <c r="C440" s="319" t="s">
        <v>314</v>
      </c>
      <c r="D440" s="319" t="s">
        <v>165</v>
      </c>
      <c r="E440" s="319" t="s">
        <v>964</v>
      </c>
      <c r="F440" s="319"/>
      <c r="G440" s="317">
        <f t="shared" si="36"/>
        <v>260</v>
      </c>
      <c r="H440" s="317">
        <f t="shared" si="36"/>
        <v>260</v>
      </c>
      <c r="I440" s="211"/>
    </row>
    <row r="441" spans="1:9" ht="31.5" x14ac:dyDescent="0.25">
      <c r="A441" s="320" t="s">
        <v>1144</v>
      </c>
      <c r="B441" s="314">
        <v>903</v>
      </c>
      <c r="C441" s="316" t="s">
        <v>314</v>
      </c>
      <c r="D441" s="316" t="s">
        <v>165</v>
      </c>
      <c r="E441" s="316" t="s">
        <v>1221</v>
      </c>
      <c r="F441" s="316"/>
      <c r="G441" s="321">
        <f>G442</f>
        <v>260</v>
      </c>
      <c r="H441" s="321">
        <f>H442</f>
        <v>260</v>
      </c>
      <c r="I441" s="211"/>
    </row>
    <row r="442" spans="1:9" ht="31.5" x14ac:dyDescent="0.25">
      <c r="A442" s="320" t="s">
        <v>146</v>
      </c>
      <c r="B442" s="314">
        <v>903</v>
      </c>
      <c r="C442" s="316" t="s">
        <v>314</v>
      </c>
      <c r="D442" s="316" t="s">
        <v>165</v>
      </c>
      <c r="E442" s="316" t="s">
        <v>1221</v>
      </c>
      <c r="F442" s="316" t="s">
        <v>147</v>
      </c>
      <c r="G442" s="321">
        <f>G443</f>
        <v>260</v>
      </c>
      <c r="H442" s="321">
        <f>H443</f>
        <v>260</v>
      </c>
      <c r="I442" s="211"/>
    </row>
    <row r="443" spans="1:9" ht="31.5" x14ac:dyDescent="0.25">
      <c r="A443" s="320" t="s">
        <v>148</v>
      </c>
      <c r="B443" s="314">
        <v>903</v>
      </c>
      <c r="C443" s="316" t="s">
        <v>314</v>
      </c>
      <c r="D443" s="316" t="s">
        <v>165</v>
      </c>
      <c r="E443" s="316" t="s">
        <v>1221</v>
      </c>
      <c r="F443" s="316" t="s">
        <v>149</v>
      </c>
      <c r="G443" s="321">
        <f>260</f>
        <v>260</v>
      </c>
      <c r="H443" s="321">
        <f t="shared" si="35"/>
        <v>260</v>
      </c>
      <c r="I443" s="211"/>
    </row>
    <row r="444" spans="1:9" ht="15.75" x14ac:dyDescent="0.25">
      <c r="A444" s="318" t="s">
        <v>258</v>
      </c>
      <c r="B444" s="315">
        <v>903</v>
      </c>
      <c r="C444" s="319" t="s">
        <v>259</v>
      </c>
      <c r="D444" s="319"/>
      <c r="E444" s="319"/>
      <c r="F444" s="319"/>
      <c r="G444" s="317">
        <f>G445</f>
        <v>1824</v>
      </c>
      <c r="H444" s="317">
        <f>H445</f>
        <v>1834</v>
      </c>
      <c r="I444" s="211"/>
    </row>
    <row r="445" spans="1:9" ht="15.75" x14ac:dyDescent="0.25">
      <c r="A445" s="318" t="s">
        <v>267</v>
      </c>
      <c r="B445" s="315">
        <v>903</v>
      </c>
      <c r="C445" s="319" t="s">
        <v>259</v>
      </c>
      <c r="D445" s="319" t="s">
        <v>230</v>
      </c>
      <c r="E445" s="319"/>
      <c r="F445" s="319"/>
      <c r="G445" s="317">
        <f>G446</f>
        <v>1824</v>
      </c>
      <c r="H445" s="317">
        <f>H446</f>
        <v>1834</v>
      </c>
      <c r="I445" s="211"/>
    </row>
    <row r="446" spans="1:9" ht="47.25" x14ac:dyDescent="0.25">
      <c r="A446" s="318" t="s">
        <v>1415</v>
      </c>
      <c r="B446" s="315">
        <v>903</v>
      </c>
      <c r="C446" s="319" t="s">
        <v>259</v>
      </c>
      <c r="D446" s="319" t="s">
        <v>230</v>
      </c>
      <c r="E446" s="319" t="s">
        <v>359</v>
      </c>
      <c r="F446" s="319"/>
      <c r="G446" s="317">
        <f>G447+G452+G457+G468</f>
        <v>1824</v>
      </c>
      <c r="H446" s="317">
        <f>H447+H452+H457+H468</f>
        <v>1834</v>
      </c>
      <c r="I446" s="211"/>
    </row>
    <row r="447" spans="1:9" ht="31.5" x14ac:dyDescent="0.25">
      <c r="A447" s="318" t="s">
        <v>367</v>
      </c>
      <c r="B447" s="315">
        <v>903</v>
      </c>
      <c r="C447" s="319" t="s">
        <v>259</v>
      </c>
      <c r="D447" s="319" t="s">
        <v>230</v>
      </c>
      <c r="E447" s="319" t="s">
        <v>368</v>
      </c>
      <c r="F447" s="319"/>
      <c r="G447" s="317">
        <f t="shared" ref="G447:H450" si="37">G448</f>
        <v>44</v>
      </c>
      <c r="H447" s="317">
        <f t="shared" si="37"/>
        <v>54</v>
      </c>
      <c r="I447" s="211"/>
    </row>
    <row r="448" spans="1:9" ht="31.5" x14ac:dyDescent="0.25">
      <c r="A448" s="318" t="s">
        <v>974</v>
      </c>
      <c r="B448" s="315">
        <v>903</v>
      </c>
      <c r="C448" s="319" t="s">
        <v>259</v>
      </c>
      <c r="D448" s="319" t="s">
        <v>230</v>
      </c>
      <c r="E448" s="319" t="s">
        <v>973</v>
      </c>
      <c r="F448" s="319"/>
      <c r="G448" s="317">
        <f t="shared" si="37"/>
        <v>44</v>
      </c>
      <c r="H448" s="317">
        <f t="shared" si="37"/>
        <v>54</v>
      </c>
      <c r="I448" s="211"/>
    </row>
    <row r="449" spans="1:9" ht="31.5" x14ac:dyDescent="0.25">
      <c r="A449" s="320" t="s">
        <v>867</v>
      </c>
      <c r="B449" s="314">
        <v>903</v>
      </c>
      <c r="C449" s="316" t="s">
        <v>259</v>
      </c>
      <c r="D449" s="316" t="s">
        <v>230</v>
      </c>
      <c r="E449" s="316" t="s">
        <v>975</v>
      </c>
      <c r="F449" s="316"/>
      <c r="G449" s="321">
        <f t="shared" si="37"/>
        <v>44</v>
      </c>
      <c r="H449" s="321">
        <f t="shared" si="37"/>
        <v>54</v>
      </c>
      <c r="I449" s="211"/>
    </row>
    <row r="450" spans="1:9" ht="21.2" customHeight="1" x14ac:dyDescent="0.25">
      <c r="A450" s="320" t="s">
        <v>263</v>
      </c>
      <c r="B450" s="314">
        <v>903</v>
      </c>
      <c r="C450" s="316" t="s">
        <v>259</v>
      </c>
      <c r="D450" s="316" t="s">
        <v>230</v>
      </c>
      <c r="E450" s="316" t="s">
        <v>975</v>
      </c>
      <c r="F450" s="316" t="s">
        <v>264</v>
      </c>
      <c r="G450" s="321">
        <f>G451</f>
        <v>44</v>
      </c>
      <c r="H450" s="321">
        <f t="shared" si="37"/>
        <v>54</v>
      </c>
      <c r="I450" s="211"/>
    </row>
    <row r="451" spans="1:9" ht="31.5" x14ac:dyDescent="0.25">
      <c r="A451" s="320" t="s">
        <v>265</v>
      </c>
      <c r="B451" s="314">
        <v>903</v>
      </c>
      <c r="C451" s="316" t="s">
        <v>259</v>
      </c>
      <c r="D451" s="316" t="s">
        <v>230</v>
      </c>
      <c r="E451" s="316" t="s">
        <v>975</v>
      </c>
      <c r="F451" s="316" t="s">
        <v>266</v>
      </c>
      <c r="G451" s="321">
        <v>44</v>
      </c>
      <c r="H451" s="321">
        <v>54</v>
      </c>
      <c r="I451" s="211"/>
    </row>
    <row r="452" spans="1:9" ht="31.5" x14ac:dyDescent="0.25">
      <c r="A452" s="318" t="s">
        <v>370</v>
      </c>
      <c r="B452" s="315">
        <v>903</v>
      </c>
      <c r="C452" s="315">
        <v>10</v>
      </c>
      <c r="D452" s="319" t="s">
        <v>230</v>
      </c>
      <c r="E452" s="319" t="s">
        <v>371</v>
      </c>
      <c r="F452" s="319"/>
      <c r="G452" s="317">
        <f>G454</f>
        <v>420</v>
      </c>
      <c r="H452" s="317">
        <f>H454</f>
        <v>420</v>
      </c>
      <c r="I452" s="211"/>
    </row>
    <row r="453" spans="1:9" ht="31.5" x14ac:dyDescent="0.25">
      <c r="A453" s="318" t="s">
        <v>1146</v>
      </c>
      <c r="B453" s="315">
        <v>903</v>
      </c>
      <c r="C453" s="315">
        <v>10</v>
      </c>
      <c r="D453" s="319" t="s">
        <v>230</v>
      </c>
      <c r="E453" s="319" t="s">
        <v>976</v>
      </c>
      <c r="F453" s="319"/>
      <c r="G453" s="317">
        <f t="shared" ref="G453:H455" si="38">G454</f>
        <v>420</v>
      </c>
      <c r="H453" s="317">
        <f t="shared" si="38"/>
        <v>420</v>
      </c>
      <c r="I453" s="211"/>
    </row>
    <row r="454" spans="1:9" ht="15.75" x14ac:dyDescent="0.25">
      <c r="A454" s="320" t="s">
        <v>1201</v>
      </c>
      <c r="B454" s="314">
        <v>903</v>
      </c>
      <c r="C454" s="316" t="s">
        <v>259</v>
      </c>
      <c r="D454" s="316" t="s">
        <v>230</v>
      </c>
      <c r="E454" s="316" t="s">
        <v>977</v>
      </c>
      <c r="F454" s="316"/>
      <c r="G454" s="321">
        <f t="shared" si="38"/>
        <v>420</v>
      </c>
      <c r="H454" s="321">
        <f t="shared" si="38"/>
        <v>420</v>
      </c>
      <c r="I454" s="211"/>
    </row>
    <row r="455" spans="1:9" ht="22.7" customHeight="1" x14ac:dyDescent="0.25">
      <c r="A455" s="320" t="s">
        <v>263</v>
      </c>
      <c r="B455" s="314">
        <v>903</v>
      </c>
      <c r="C455" s="316" t="s">
        <v>259</v>
      </c>
      <c r="D455" s="316" t="s">
        <v>230</v>
      </c>
      <c r="E455" s="316" t="s">
        <v>977</v>
      </c>
      <c r="F455" s="316" t="s">
        <v>264</v>
      </c>
      <c r="G455" s="321">
        <f t="shared" si="38"/>
        <v>420</v>
      </c>
      <c r="H455" s="321">
        <f t="shared" si="38"/>
        <v>420</v>
      </c>
      <c r="I455" s="211"/>
    </row>
    <row r="456" spans="1:9" ht="31.5" x14ac:dyDescent="0.25">
      <c r="A456" s="320" t="s">
        <v>363</v>
      </c>
      <c r="B456" s="314">
        <v>903</v>
      </c>
      <c r="C456" s="316" t="s">
        <v>259</v>
      </c>
      <c r="D456" s="316" t="s">
        <v>230</v>
      </c>
      <c r="E456" s="316" t="s">
        <v>977</v>
      </c>
      <c r="F456" s="316" t="s">
        <v>364</v>
      </c>
      <c r="G456" s="321">
        <f>420</f>
        <v>420</v>
      </c>
      <c r="H456" s="321">
        <f t="shared" si="35"/>
        <v>420</v>
      </c>
      <c r="I456" s="211"/>
    </row>
    <row r="457" spans="1:9" ht="15.75" x14ac:dyDescent="0.25">
      <c r="A457" s="318" t="s">
        <v>373</v>
      </c>
      <c r="B457" s="315">
        <v>903</v>
      </c>
      <c r="C457" s="315">
        <v>10</v>
      </c>
      <c r="D457" s="319" t="s">
        <v>230</v>
      </c>
      <c r="E457" s="319" t="s">
        <v>374</v>
      </c>
      <c r="F457" s="319"/>
      <c r="G457" s="317">
        <f>G462+G458</f>
        <v>1110</v>
      </c>
      <c r="H457" s="317">
        <f>H462+H458</f>
        <v>1110</v>
      </c>
      <c r="I457" s="211"/>
    </row>
    <row r="458" spans="1:9" ht="31.5" x14ac:dyDescent="0.25">
      <c r="A458" s="318" t="s">
        <v>1203</v>
      </c>
      <c r="B458" s="315">
        <v>903</v>
      </c>
      <c r="C458" s="319" t="s">
        <v>259</v>
      </c>
      <c r="D458" s="319" t="s">
        <v>230</v>
      </c>
      <c r="E458" s="319" t="s">
        <v>979</v>
      </c>
      <c r="F458" s="319"/>
      <c r="G458" s="317">
        <f t="shared" ref="G458:H460" si="39">G459</f>
        <v>630</v>
      </c>
      <c r="H458" s="317">
        <f t="shared" si="39"/>
        <v>630</v>
      </c>
      <c r="I458" s="211"/>
    </row>
    <row r="459" spans="1:9" ht="47.25" x14ac:dyDescent="0.25">
      <c r="A459" s="99" t="s">
        <v>1204</v>
      </c>
      <c r="B459" s="314">
        <v>903</v>
      </c>
      <c r="C459" s="316" t="s">
        <v>259</v>
      </c>
      <c r="D459" s="316" t="s">
        <v>230</v>
      </c>
      <c r="E459" s="316" t="s">
        <v>980</v>
      </c>
      <c r="F459" s="316"/>
      <c r="G459" s="321">
        <f t="shared" si="39"/>
        <v>630</v>
      </c>
      <c r="H459" s="321">
        <f t="shared" si="39"/>
        <v>630</v>
      </c>
      <c r="I459" s="211"/>
    </row>
    <row r="460" spans="1:9" ht="31.5" x14ac:dyDescent="0.25">
      <c r="A460" s="320" t="s">
        <v>263</v>
      </c>
      <c r="B460" s="314">
        <v>903</v>
      </c>
      <c r="C460" s="316" t="s">
        <v>259</v>
      </c>
      <c r="D460" s="316" t="s">
        <v>230</v>
      </c>
      <c r="E460" s="316" t="s">
        <v>980</v>
      </c>
      <c r="F460" s="316" t="s">
        <v>264</v>
      </c>
      <c r="G460" s="321">
        <f t="shared" si="39"/>
        <v>630</v>
      </c>
      <c r="H460" s="321">
        <f t="shared" si="39"/>
        <v>630</v>
      </c>
      <c r="I460" s="211"/>
    </row>
    <row r="461" spans="1:9" ht="31.5" x14ac:dyDescent="0.25">
      <c r="A461" s="320" t="s">
        <v>363</v>
      </c>
      <c r="B461" s="314">
        <v>903</v>
      </c>
      <c r="C461" s="316" t="s">
        <v>259</v>
      </c>
      <c r="D461" s="316" t="s">
        <v>230</v>
      </c>
      <c r="E461" s="316" t="s">
        <v>980</v>
      </c>
      <c r="F461" s="316" t="s">
        <v>364</v>
      </c>
      <c r="G461" s="321">
        <f>630</f>
        <v>630</v>
      </c>
      <c r="H461" s="321">
        <f t="shared" si="35"/>
        <v>630</v>
      </c>
      <c r="I461" s="211"/>
    </row>
    <row r="462" spans="1:9" ht="31.5" x14ac:dyDescent="0.25">
      <c r="A462" s="318" t="s">
        <v>978</v>
      </c>
      <c r="B462" s="315">
        <v>903</v>
      </c>
      <c r="C462" s="315">
        <v>10</v>
      </c>
      <c r="D462" s="319" t="s">
        <v>230</v>
      </c>
      <c r="E462" s="319" t="s">
        <v>981</v>
      </c>
      <c r="F462" s="319"/>
      <c r="G462" s="317">
        <f>G463+G466</f>
        <v>480</v>
      </c>
      <c r="H462" s="317">
        <f>H463+H466</f>
        <v>480</v>
      </c>
      <c r="I462" s="211"/>
    </row>
    <row r="463" spans="1:9" ht="31.5" x14ac:dyDescent="0.25">
      <c r="A463" s="320" t="s">
        <v>1147</v>
      </c>
      <c r="B463" s="314">
        <v>903</v>
      </c>
      <c r="C463" s="316" t="s">
        <v>259</v>
      </c>
      <c r="D463" s="316" t="s">
        <v>230</v>
      </c>
      <c r="E463" s="316" t="s">
        <v>982</v>
      </c>
      <c r="F463" s="316"/>
      <c r="G463" s="321">
        <f>G464</f>
        <v>270</v>
      </c>
      <c r="H463" s="321">
        <f>H464</f>
        <v>270</v>
      </c>
      <c r="I463" s="211"/>
    </row>
    <row r="464" spans="1:9" ht="31.5" x14ac:dyDescent="0.25">
      <c r="A464" s="320" t="s">
        <v>146</v>
      </c>
      <c r="B464" s="314">
        <v>903</v>
      </c>
      <c r="C464" s="316" t="s">
        <v>259</v>
      </c>
      <c r="D464" s="316" t="s">
        <v>230</v>
      </c>
      <c r="E464" s="316" t="s">
        <v>982</v>
      </c>
      <c r="F464" s="316" t="s">
        <v>147</v>
      </c>
      <c r="G464" s="321">
        <f>G465</f>
        <v>270</v>
      </c>
      <c r="H464" s="321">
        <f>H465</f>
        <v>270</v>
      </c>
      <c r="I464" s="211"/>
    </row>
    <row r="465" spans="1:9" ht="31.5" x14ac:dyDescent="0.25">
      <c r="A465" s="320" t="s">
        <v>148</v>
      </c>
      <c r="B465" s="314">
        <v>903</v>
      </c>
      <c r="C465" s="316" t="s">
        <v>259</v>
      </c>
      <c r="D465" s="316" t="s">
        <v>230</v>
      </c>
      <c r="E465" s="316" t="s">
        <v>982</v>
      </c>
      <c r="F465" s="316" t="s">
        <v>149</v>
      </c>
      <c r="G465" s="321">
        <f>270</f>
        <v>270</v>
      </c>
      <c r="H465" s="321">
        <f t="shared" si="35"/>
        <v>270</v>
      </c>
      <c r="I465" s="211"/>
    </row>
    <row r="466" spans="1:9" s="210" customFormat="1" ht="31.5" x14ac:dyDescent="0.25">
      <c r="A466" s="320" t="s">
        <v>263</v>
      </c>
      <c r="B466" s="314">
        <v>903</v>
      </c>
      <c r="C466" s="316" t="s">
        <v>259</v>
      </c>
      <c r="D466" s="316" t="s">
        <v>230</v>
      </c>
      <c r="E466" s="316" t="s">
        <v>982</v>
      </c>
      <c r="F466" s="316" t="s">
        <v>264</v>
      </c>
      <c r="G466" s="321">
        <f>G467</f>
        <v>210</v>
      </c>
      <c r="H466" s="321">
        <f>H467</f>
        <v>210</v>
      </c>
      <c r="I466" s="211"/>
    </row>
    <row r="467" spans="1:9" s="210" customFormat="1" ht="31.5" x14ac:dyDescent="0.25">
      <c r="A467" s="320" t="s">
        <v>363</v>
      </c>
      <c r="B467" s="314">
        <v>903</v>
      </c>
      <c r="C467" s="316" t="s">
        <v>259</v>
      </c>
      <c r="D467" s="316" t="s">
        <v>230</v>
      </c>
      <c r="E467" s="316" t="s">
        <v>982</v>
      </c>
      <c r="F467" s="316" t="s">
        <v>364</v>
      </c>
      <c r="G467" s="321">
        <f>210</f>
        <v>210</v>
      </c>
      <c r="H467" s="321">
        <f t="shared" si="35"/>
        <v>210</v>
      </c>
      <c r="I467" s="211"/>
    </row>
    <row r="468" spans="1:9" ht="31.5" x14ac:dyDescent="0.25">
      <c r="A468" s="318" t="s">
        <v>376</v>
      </c>
      <c r="B468" s="315">
        <v>903</v>
      </c>
      <c r="C468" s="319" t="s">
        <v>259</v>
      </c>
      <c r="D468" s="319" t="s">
        <v>230</v>
      </c>
      <c r="E468" s="319" t="s">
        <v>377</v>
      </c>
      <c r="F468" s="319"/>
      <c r="G468" s="317">
        <f t="shared" ref="G468:H471" si="40">G469</f>
        <v>250</v>
      </c>
      <c r="H468" s="317">
        <f t="shared" si="40"/>
        <v>250</v>
      </c>
      <c r="I468" s="211"/>
    </row>
    <row r="469" spans="1:9" ht="47.25" x14ac:dyDescent="0.25">
      <c r="A469" s="318" t="s">
        <v>1206</v>
      </c>
      <c r="B469" s="315">
        <v>903</v>
      </c>
      <c r="C469" s="319" t="s">
        <v>259</v>
      </c>
      <c r="D469" s="319" t="s">
        <v>230</v>
      </c>
      <c r="E469" s="319" t="s">
        <v>984</v>
      </c>
      <c r="F469" s="319"/>
      <c r="G469" s="317">
        <f t="shared" si="40"/>
        <v>250</v>
      </c>
      <c r="H469" s="317">
        <f t="shared" si="40"/>
        <v>250</v>
      </c>
      <c r="I469" s="211"/>
    </row>
    <row r="470" spans="1:9" ht="47.25" x14ac:dyDescent="0.25">
      <c r="A470" s="320" t="s">
        <v>1205</v>
      </c>
      <c r="B470" s="314">
        <v>903</v>
      </c>
      <c r="C470" s="316" t="s">
        <v>259</v>
      </c>
      <c r="D470" s="316" t="s">
        <v>230</v>
      </c>
      <c r="E470" s="316" t="s">
        <v>983</v>
      </c>
      <c r="F470" s="316"/>
      <c r="G470" s="321">
        <f t="shared" si="40"/>
        <v>250</v>
      </c>
      <c r="H470" s="321">
        <f t="shared" si="40"/>
        <v>250</v>
      </c>
      <c r="I470" s="211"/>
    </row>
    <row r="471" spans="1:9" ht="17.45" customHeight="1" x14ac:dyDescent="0.25">
      <c r="A471" s="320" t="s">
        <v>263</v>
      </c>
      <c r="B471" s="314">
        <v>903</v>
      </c>
      <c r="C471" s="316" t="s">
        <v>259</v>
      </c>
      <c r="D471" s="316" t="s">
        <v>230</v>
      </c>
      <c r="E471" s="316" t="s">
        <v>983</v>
      </c>
      <c r="F471" s="316" t="s">
        <v>264</v>
      </c>
      <c r="G471" s="321">
        <f t="shared" si="40"/>
        <v>250</v>
      </c>
      <c r="H471" s="321">
        <f t="shared" si="40"/>
        <v>250</v>
      </c>
      <c r="I471" s="211"/>
    </row>
    <row r="472" spans="1:9" ht="31.5" x14ac:dyDescent="0.25">
      <c r="A472" s="320" t="s">
        <v>363</v>
      </c>
      <c r="B472" s="314">
        <v>903</v>
      </c>
      <c r="C472" s="316" t="s">
        <v>259</v>
      </c>
      <c r="D472" s="316" t="s">
        <v>230</v>
      </c>
      <c r="E472" s="316" t="s">
        <v>983</v>
      </c>
      <c r="F472" s="316" t="s">
        <v>364</v>
      </c>
      <c r="G472" s="321">
        <f>250</f>
        <v>250</v>
      </c>
      <c r="H472" s="321">
        <f t="shared" si="35"/>
        <v>250</v>
      </c>
      <c r="I472" s="211"/>
    </row>
    <row r="473" spans="1:9" s="210" customFormat="1" ht="15.75" x14ac:dyDescent="0.25">
      <c r="A473" s="318" t="s">
        <v>597</v>
      </c>
      <c r="B473" s="315">
        <v>903</v>
      </c>
      <c r="C473" s="319" t="s">
        <v>253</v>
      </c>
      <c r="D473" s="316"/>
      <c r="E473" s="316"/>
      <c r="F473" s="316"/>
      <c r="G473" s="317">
        <f>G474</f>
        <v>5479</v>
      </c>
      <c r="H473" s="317">
        <f>H474</f>
        <v>5479</v>
      </c>
      <c r="I473" s="211"/>
    </row>
    <row r="474" spans="1:9" s="210" customFormat="1" ht="15.75" x14ac:dyDescent="0.25">
      <c r="A474" s="318" t="s">
        <v>598</v>
      </c>
      <c r="B474" s="315">
        <v>903</v>
      </c>
      <c r="C474" s="319" t="s">
        <v>253</v>
      </c>
      <c r="D474" s="319" t="s">
        <v>228</v>
      </c>
      <c r="E474" s="319"/>
      <c r="F474" s="319"/>
      <c r="G474" s="317">
        <f>G475+G487</f>
        <v>5479</v>
      </c>
      <c r="H474" s="317">
        <f>H475+H487</f>
        <v>5479</v>
      </c>
      <c r="I474" s="211"/>
    </row>
    <row r="475" spans="1:9" s="210" customFormat="1" ht="15.75" x14ac:dyDescent="0.25">
      <c r="A475" s="318" t="s">
        <v>156</v>
      </c>
      <c r="B475" s="315">
        <v>903</v>
      </c>
      <c r="C475" s="319" t="s">
        <v>253</v>
      </c>
      <c r="D475" s="319" t="s">
        <v>228</v>
      </c>
      <c r="E475" s="319" t="s">
        <v>910</v>
      </c>
      <c r="F475" s="319"/>
      <c r="G475" s="317">
        <f>G476</f>
        <v>5419</v>
      </c>
      <c r="H475" s="317">
        <f>H476</f>
        <v>5419</v>
      </c>
      <c r="I475" s="211"/>
    </row>
    <row r="476" spans="1:9" s="210" customFormat="1" ht="15.75" x14ac:dyDescent="0.25">
      <c r="A476" s="318" t="s">
        <v>1088</v>
      </c>
      <c r="B476" s="315">
        <v>903</v>
      </c>
      <c r="C476" s="319" t="s">
        <v>253</v>
      </c>
      <c r="D476" s="319" t="s">
        <v>228</v>
      </c>
      <c r="E476" s="319" t="s">
        <v>1087</v>
      </c>
      <c r="F476" s="319"/>
      <c r="G476" s="317">
        <f>G477+G484</f>
        <v>5419</v>
      </c>
      <c r="H476" s="317">
        <f>H477+H484</f>
        <v>5419</v>
      </c>
      <c r="I476" s="211"/>
    </row>
    <row r="477" spans="1:9" s="210" customFormat="1" ht="15.75" x14ac:dyDescent="0.25">
      <c r="A477" s="320" t="s">
        <v>832</v>
      </c>
      <c r="B477" s="314">
        <v>903</v>
      </c>
      <c r="C477" s="316" t="s">
        <v>253</v>
      </c>
      <c r="D477" s="316" t="s">
        <v>228</v>
      </c>
      <c r="E477" s="316" t="s">
        <v>1089</v>
      </c>
      <c r="F477" s="316"/>
      <c r="G477" s="321">
        <f>G478+G480+G482</f>
        <v>5209</v>
      </c>
      <c r="H477" s="321">
        <f>H478+H480+H482</f>
        <v>5209</v>
      </c>
      <c r="I477" s="211"/>
    </row>
    <row r="478" spans="1:9" s="210" customFormat="1" ht="78.75" x14ac:dyDescent="0.25">
      <c r="A478" s="320" t="s">
        <v>142</v>
      </c>
      <c r="B478" s="314">
        <v>903</v>
      </c>
      <c r="C478" s="316" t="s">
        <v>253</v>
      </c>
      <c r="D478" s="316" t="s">
        <v>228</v>
      </c>
      <c r="E478" s="316" t="s">
        <v>1089</v>
      </c>
      <c r="F478" s="316" t="s">
        <v>143</v>
      </c>
      <c r="G478" s="321">
        <f>G479</f>
        <v>4500</v>
      </c>
      <c r="H478" s="321">
        <f>H479</f>
        <v>4500</v>
      </c>
      <c r="I478" s="211"/>
    </row>
    <row r="479" spans="1:9" s="210" customFormat="1" ht="15.75" x14ac:dyDescent="0.25">
      <c r="A479" s="320" t="s">
        <v>223</v>
      </c>
      <c r="B479" s="314">
        <v>903</v>
      </c>
      <c r="C479" s="316" t="s">
        <v>253</v>
      </c>
      <c r="D479" s="316" t="s">
        <v>228</v>
      </c>
      <c r="E479" s="316" t="s">
        <v>1089</v>
      </c>
      <c r="F479" s="316" t="s">
        <v>224</v>
      </c>
      <c r="G479" s="322">
        <v>4500</v>
      </c>
      <c r="H479" s="322">
        <f>G479</f>
        <v>4500</v>
      </c>
      <c r="I479" s="211"/>
    </row>
    <row r="480" spans="1:9" s="210" customFormat="1" ht="31.5" x14ac:dyDescent="0.25">
      <c r="A480" s="320" t="s">
        <v>146</v>
      </c>
      <c r="B480" s="314">
        <v>903</v>
      </c>
      <c r="C480" s="316" t="s">
        <v>253</v>
      </c>
      <c r="D480" s="316" t="s">
        <v>228</v>
      </c>
      <c r="E480" s="316" t="s">
        <v>1089</v>
      </c>
      <c r="F480" s="316" t="s">
        <v>147</v>
      </c>
      <c r="G480" s="321">
        <f>G481</f>
        <v>659</v>
      </c>
      <c r="H480" s="321">
        <f>H481</f>
        <v>659</v>
      </c>
      <c r="I480" s="211"/>
    </row>
    <row r="481" spans="1:9" s="210" customFormat="1" ht="31.5" x14ac:dyDescent="0.25">
      <c r="A481" s="320" t="s">
        <v>148</v>
      </c>
      <c r="B481" s="314">
        <v>903</v>
      </c>
      <c r="C481" s="316" t="s">
        <v>253</v>
      </c>
      <c r="D481" s="316" t="s">
        <v>228</v>
      </c>
      <c r="E481" s="316" t="s">
        <v>1089</v>
      </c>
      <c r="F481" s="316" t="s">
        <v>149</v>
      </c>
      <c r="G481" s="322">
        <f>659</f>
        <v>659</v>
      </c>
      <c r="H481" s="322">
        <f>G481</f>
        <v>659</v>
      </c>
      <c r="I481" s="211"/>
    </row>
    <row r="482" spans="1:9" s="210" customFormat="1" ht="15.75" x14ac:dyDescent="0.25">
      <c r="A482" s="320" t="s">
        <v>150</v>
      </c>
      <c r="B482" s="314">
        <v>903</v>
      </c>
      <c r="C482" s="316" t="s">
        <v>253</v>
      </c>
      <c r="D482" s="316" t="s">
        <v>228</v>
      </c>
      <c r="E482" s="316" t="s">
        <v>1089</v>
      </c>
      <c r="F482" s="316" t="s">
        <v>160</v>
      </c>
      <c r="G482" s="321">
        <f>G483</f>
        <v>50</v>
      </c>
      <c r="H482" s="321">
        <f>H483</f>
        <v>50</v>
      </c>
      <c r="I482" s="211"/>
    </row>
    <row r="483" spans="1:9" s="210" customFormat="1" ht="15.75" x14ac:dyDescent="0.25">
      <c r="A483" s="320" t="s">
        <v>583</v>
      </c>
      <c r="B483" s="314">
        <v>903</v>
      </c>
      <c r="C483" s="316" t="s">
        <v>253</v>
      </c>
      <c r="D483" s="316" t="s">
        <v>228</v>
      </c>
      <c r="E483" s="316" t="s">
        <v>1089</v>
      </c>
      <c r="F483" s="316" t="s">
        <v>153</v>
      </c>
      <c r="G483" s="321">
        <f>50</f>
        <v>50</v>
      </c>
      <c r="H483" s="321">
        <f>G483</f>
        <v>50</v>
      </c>
      <c r="I483" s="211"/>
    </row>
    <row r="484" spans="1:9" s="210" customFormat="1" ht="47.25" x14ac:dyDescent="0.25">
      <c r="A484" s="320" t="s">
        <v>883</v>
      </c>
      <c r="B484" s="314">
        <v>903</v>
      </c>
      <c r="C484" s="316" t="s">
        <v>253</v>
      </c>
      <c r="D484" s="316" t="s">
        <v>228</v>
      </c>
      <c r="E484" s="316" t="s">
        <v>1090</v>
      </c>
      <c r="F484" s="316"/>
      <c r="G484" s="321">
        <f>G485</f>
        <v>210</v>
      </c>
      <c r="H484" s="321">
        <f>H485</f>
        <v>210</v>
      </c>
      <c r="I484" s="211"/>
    </row>
    <row r="485" spans="1:9" s="210" customFormat="1" ht="78.75" x14ac:dyDescent="0.25">
      <c r="A485" s="320" t="s">
        <v>142</v>
      </c>
      <c r="B485" s="314">
        <v>903</v>
      </c>
      <c r="C485" s="316" t="s">
        <v>253</v>
      </c>
      <c r="D485" s="316" t="s">
        <v>228</v>
      </c>
      <c r="E485" s="316" t="s">
        <v>1090</v>
      </c>
      <c r="F485" s="316" t="s">
        <v>143</v>
      </c>
      <c r="G485" s="321">
        <f>G486</f>
        <v>210</v>
      </c>
      <c r="H485" s="321">
        <f>H486</f>
        <v>210</v>
      </c>
      <c r="I485" s="211"/>
    </row>
    <row r="486" spans="1:9" s="210" customFormat="1" ht="15.75" x14ac:dyDescent="0.25">
      <c r="A486" s="320" t="s">
        <v>223</v>
      </c>
      <c r="B486" s="314">
        <v>903</v>
      </c>
      <c r="C486" s="316" t="s">
        <v>253</v>
      </c>
      <c r="D486" s="316" t="s">
        <v>228</v>
      </c>
      <c r="E486" s="316" t="s">
        <v>1090</v>
      </c>
      <c r="F486" s="316" t="s">
        <v>224</v>
      </c>
      <c r="G486" s="321">
        <f>210</f>
        <v>210</v>
      </c>
      <c r="H486" s="321">
        <f>G486</f>
        <v>210</v>
      </c>
      <c r="I486" s="211"/>
    </row>
    <row r="487" spans="1:9" s="210" customFormat="1" ht="63" x14ac:dyDescent="0.25">
      <c r="A487" s="41" t="s">
        <v>1417</v>
      </c>
      <c r="B487" s="315">
        <v>903</v>
      </c>
      <c r="C487" s="319" t="s">
        <v>253</v>
      </c>
      <c r="D487" s="319" t="s">
        <v>228</v>
      </c>
      <c r="E487" s="319" t="s">
        <v>726</v>
      </c>
      <c r="F487" s="228"/>
      <c r="G487" s="317">
        <f>G489</f>
        <v>60</v>
      </c>
      <c r="H487" s="317">
        <f>H489</f>
        <v>60</v>
      </c>
      <c r="I487" s="211"/>
    </row>
    <row r="488" spans="1:9" s="210" customFormat="1" ht="47.25" x14ac:dyDescent="0.25">
      <c r="A488" s="41" t="s">
        <v>947</v>
      </c>
      <c r="B488" s="315">
        <v>903</v>
      </c>
      <c r="C488" s="319" t="s">
        <v>253</v>
      </c>
      <c r="D488" s="319" t="s">
        <v>228</v>
      </c>
      <c r="E488" s="319" t="s">
        <v>945</v>
      </c>
      <c r="F488" s="228"/>
      <c r="G488" s="317">
        <f t="shared" ref="G488:H490" si="41">G489</f>
        <v>60</v>
      </c>
      <c r="H488" s="317">
        <f t="shared" si="41"/>
        <v>60</v>
      </c>
      <c r="I488" s="211"/>
    </row>
    <row r="489" spans="1:9" s="210" customFormat="1" ht="47.25" x14ac:dyDescent="0.25">
      <c r="A489" s="99" t="s">
        <v>1155</v>
      </c>
      <c r="B489" s="314">
        <v>903</v>
      </c>
      <c r="C489" s="316" t="s">
        <v>253</v>
      </c>
      <c r="D489" s="316" t="s">
        <v>228</v>
      </c>
      <c r="E489" s="316" t="s">
        <v>946</v>
      </c>
      <c r="F489" s="32"/>
      <c r="G489" s="321">
        <f t="shared" si="41"/>
        <v>60</v>
      </c>
      <c r="H489" s="321">
        <f t="shared" si="41"/>
        <v>60</v>
      </c>
      <c r="I489" s="211"/>
    </row>
    <row r="490" spans="1:9" s="210" customFormat="1" ht="31.5" x14ac:dyDescent="0.25">
      <c r="A490" s="320" t="s">
        <v>146</v>
      </c>
      <c r="B490" s="314">
        <v>903</v>
      </c>
      <c r="C490" s="316" t="s">
        <v>253</v>
      </c>
      <c r="D490" s="316" t="s">
        <v>228</v>
      </c>
      <c r="E490" s="316" t="s">
        <v>946</v>
      </c>
      <c r="F490" s="32" t="s">
        <v>147</v>
      </c>
      <c r="G490" s="321">
        <f t="shared" si="41"/>
        <v>60</v>
      </c>
      <c r="H490" s="321">
        <f t="shared" si="41"/>
        <v>60</v>
      </c>
      <c r="I490" s="211"/>
    </row>
    <row r="491" spans="1:9" s="210" customFormat="1" ht="31.5" x14ac:dyDescent="0.25">
      <c r="A491" s="320" t="s">
        <v>148</v>
      </c>
      <c r="B491" s="314">
        <v>903</v>
      </c>
      <c r="C491" s="316" t="s">
        <v>253</v>
      </c>
      <c r="D491" s="316" t="s">
        <v>228</v>
      </c>
      <c r="E491" s="316" t="s">
        <v>946</v>
      </c>
      <c r="F491" s="32" t="s">
        <v>149</v>
      </c>
      <c r="G491" s="321">
        <f>60</f>
        <v>60</v>
      </c>
      <c r="H491" s="321">
        <f>G491</f>
        <v>60</v>
      </c>
      <c r="I491" s="211"/>
    </row>
    <row r="492" spans="1:9" ht="47.25" x14ac:dyDescent="0.25">
      <c r="A492" s="315" t="s">
        <v>402</v>
      </c>
      <c r="B492" s="315">
        <v>905</v>
      </c>
      <c r="C492" s="316"/>
      <c r="D492" s="316"/>
      <c r="E492" s="316"/>
      <c r="F492" s="316"/>
      <c r="G492" s="317">
        <f>G493+G525</f>
        <v>18309.22</v>
      </c>
      <c r="H492" s="317">
        <f>H493+H525</f>
        <v>15282.82</v>
      </c>
      <c r="I492" s="211"/>
    </row>
    <row r="493" spans="1:9" ht="15.75" x14ac:dyDescent="0.25">
      <c r="A493" s="318" t="s">
        <v>132</v>
      </c>
      <c r="B493" s="315">
        <v>905</v>
      </c>
      <c r="C493" s="319" t="s">
        <v>133</v>
      </c>
      <c r="D493" s="316"/>
      <c r="E493" s="316"/>
      <c r="F493" s="316"/>
      <c r="G493" s="317">
        <f>G494+G511</f>
        <v>17128.22</v>
      </c>
      <c r="H493" s="317">
        <f>H494+H511</f>
        <v>14101.82</v>
      </c>
      <c r="I493" s="211"/>
    </row>
    <row r="494" spans="1:9" ht="63" x14ac:dyDescent="0.25">
      <c r="A494" s="318" t="s">
        <v>164</v>
      </c>
      <c r="B494" s="315">
        <v>905</v>
      </c>
      <c r="C494" s="319" t="s">
        <v>133</v>
      </c>
      <c r="D494" s="319" t="s">
        <v>165</v>
      </c>
      <c r="E494" s="319"/>
      <c r="F494" s="319"/>
      <c r="G494" s="317">
        <f>G495</f>
        <v>10962</v>
      </c>
      <c r="H494" s="317">
        <f>H495</f>
        <v>10962</v>
      </c>
      <c r="I494" s="211"/>
    </row>
    <row r="495" spans="1:9" ht="31.5" x14ac:dyDescent="0.25">
      <c r="A495" s="318" t="s">
        <v>988</v>
      </c>
      <c r="B495" s="315">
        <v>905</v>
      </c>
      <c r="C495" s="319" t="s">
        <v>133</v>
      </c>
      <c r="D495" s="319" t="s">
        <v>165</v>
      </c>
      <c r="E495" s="319" t="s">
        <v>902</v>
      </c>
      <c r="F495" s="319"/>
      <c r="G495" s="317">
        <f>G496+G507</f>
        <v>10962</v>
      </c>
      <c r="H495" s="317">
        <f>H496+H507</f>
        <v>10962</v>
      </c>
      <c r="I495" s="211"/>
    </row>
    <row r="496" spans="1:9" ht="15.75" x14ac:dyDescent="0.25">
      <c r="A496" s="318" t="s">
        <v>989</v>
      </c>
      <c r="B496" s="315">
        <v>905</v>
      </c>
      <c r="C496" s="319" t="s">
        <v>133</v>
      </c>
      <c r="D496" s="319" t="s">
        <v>165</v>
      </c>
      <c r="E496" s="319" t="s">
        <v>903</v>
      </c>
      <c r="F496" s="319"/>
      <c r="G496" s="317">
        <f>G497+G504</f>
        <v>10940</v>
      </c>
      <c r="H496" s="317">
        <f>H497+H504</f>
        <v>10940</v>
      </c>
      <c r="I496" s="211"/>
    </row>
    <row r="497" spans="1:9" ht="31.5" x14ac:dyDescent="0.25">
      <c r="A497" s="320" t="s">
        <v>965</v>
      </c>
      <c r="B497" s="314">
        <v>905</v>
      </c>
      <c r="C497" s="316" t="s">
        <v>133</v>
      </c>
      <c r="D497" s="316" t="s">
        <v>165</v>
      </c>
      <c r="E497" s="316" t="s">
        <v>904</v>
      </c>
      <c r="F497" s="316"/>
      <c r="G497" s="321">
        <f>G498+G500+G502</f>
        <v>10604</v>
      </c>
      <c r="H497" s="321">
        <f>H498+H500+H502</f>
        <v>10604</v>
      </c>
      <c r="I497" s="211"/>
    </row>
    <row r="498" spans="1:9" ht="78.75" x14ac:dyDescent="0.25">
      <c r="A498" s="320" t="s">
        <v>142</v>
      </c>
      <c r="B498" s="314">
        <v>905</v>
      </c>
      <c r="C498" s="316" t="s">
        <v>133</v>
      </c>
      <c r="D498" s="316" t="s">
        <v>165</v>
      </c>
      <c r="E498" s="316" t="s">
        <v>904</v>
      </c>
      <c r="F498" s="316" t="s">
        <v>143</v>
      </c>
      <c r="G498" s="321">
        <f>G499</f>
        <v>10033</v>
      </c>
      <c r="H498" s="321">
        <f>H499</f>
        <v>10033</v>
      </c>
      <c r="I498" s="211"/>
    </row>
    <row r="499" spans="1:9" ht="31.5" x14ac:dyDescent="0.25">
      <c r="A499" s="320" t="s">
        <v>144</v>
      </c>
      <c r="B499" s="314">
        <v>905</v>
      </c>
      <c r="C499" s="316" t="s">
        <v>133</v>
      </c>
      <c r="D499" s="316" t="s">
        <v>165</v>
      </c>
      <c r="E499" s="316" t="s">
        <v>904</v>
      </c>
      <c r="F499" s="316" t="s">
        <v>145</v>
      </c>
      <c r="G499" s="321">
        <f>10033</f>
        <v>10033</v>
      </c>
      <c r="H499" s="321">
        <f t="shared" si="35"/>
        <v>10033</v>
      </c>
      <c r="I499" s="211"/>
    </row>
    <row r="500" spans="1:9" ht="31.5" x14ac:dyDescent="0.25">
      <c r="A500" s="320" t="s">
        <v>146</v>
      </c>
      <c r="B500" s="314">
        <v>905</v>
      </c>
      <c r="C500" s="316" t="s">
        <v>133</v>
      </c>
      <c r="D500" s="316" t="s">
        <v>165</v>
      </c>
      <c r="E500" s="316" t="s">
        <v>904</v>
      </c>
      <c r="F500" s="316" t="s">
        <v>147</v>
      </c>
      <c r="G500" s="321">
        <f>G501</f>
        <v>440</v>
      </c>
      <c r="H500" s="321">
        <f>H501</f>
        <v>440</v>
      </c>
      <c r="I500" s="211"/>
    </row>
    <row r="501" spans="1:9" ht="31.5" x14ac:dyDescent="0.25">
      <c r="A501" s="320" t="s">
        <v>148</v>
      </c>
      <c r="B501" s="314">
        <v>905</v>
      </c>
      <c r="C501" s="316" t="s">
        <v>133</v>
      </c>
      <c r="D501" s="316" t="s">
        <v>165</v>
      </c>
      <c r="E501" s="316" t="s">
        <v>904</v>
      </c>
      <c r="F501" s="316" t="s">
        <v>149</v>
      </c>
      <c r="G501" s="321">
        <f>440</f>
        <v>440</v>
      </c>
      <c r="H501" s="321">
        <f t="shared" si="35"/>
        <v>440</v>
      </c>
      <c r="I501" s="211"/>
    </row>
    <row r="502" spans="1:9" ht="15.75" x14ac:dyDescent="0.25">
      <c r="A502" s="320" t="s">
        <v>150</v>
      </c>
      <c r="B502" s="314">
        <v>905</v>
      </c>
      <c r="C502" s="316" t="s">
        <v>133</v>
      </c>
      <c r="D502" s="316" t="s">
        <v>165</v>
      </c>
      <c r="E502" s="316" t="s">
        <v>904</v>
      </c>
      <c r="F502" s="316" t="s">
        <v>160</v>
      </c>
      <c r="G502" s="321">
        <f>G503</f>
        <v>131</v>
      </c>
      <c r="H502" s="321">
        <f>H503</f>
        <v>131</v>
      </c>
      <c r="I502" s="211"/>
    </row>
    <row r="503" spans="1:9" ht="15.75" x14ac:dyDescent="0.25">
      <c r="A503" s="320" t="s">
        <v>583</v>
      </c>
      <c r="B503" s="314">
        <v>905</v>
      </c>
      <c r="C503" s="316" t="s">
        <v>133</v>
      </c>
      <c r="D503" s="316" t="s">
        <v>165</v>
      </c>
      <c r="E503" s="316" t="s">
        <v>904</v>
      </c>
      <c r="F503" s="316" t="s">
        <v>153</v>
      </c>
      <c r="G503" s="321">
        <f>131</f>
        <v>131</v>
      </c>
      <c r="H503" s="321">
        <f t="shared" si="35"/>
        <v>131</v>
      </c>
      <c r="I503" s="211"/>
    </row>
    <row r="504" spans="1:9" ht="47.25" x14ac:dyDescent="0.25">
      <c r="A504" s="320" t="s">
        <v>883</v>
      </c>
      <c r="B504" s="314">
        <v>905</v>
      </c>
      <c r="C504" s="316" t="s">
        <v>133</v>
      </c>
      <c r="D504" s="316" t="s">
        <v>165</v>
      </c>
      <c r="E504" s="316" t="s">
        <v>906</v>
      </c>
      <c r="F504" s="316"/>
      <c r="G504" s="321">
        <f>G505</f>
        <v>336</v>
      </c>
      <c r="H504" s="321">
        <f>H505</f>
        <v>336</v>
      </c>
      <c r="I504" s="211"/>
    </row>
    <row r="505" spans="1:9" ht="78.75" x14ac:dyDescent="0.25">
      <c r="A505" s="320" t="s">
        <v>142</v>
      </c>
      <c r="B505" s="314">
        <v>905</v>
      </c>
      <c r="C505" s="316" t="s">
        <v>133</v>
      </c>
      <c r="D505" s="316" t="s">
        <v>165</v>
      </c>
      <c r="E505" s="316" t="s">
        <v>906</v>
      </c>
      <c r="F505" s="316" t="s">
        <v>143</v>
      </c>
      <c r="G505" s="321">
        <f>G506</f>
        <v>336</v>
      </c>
      <c r="H505" s="321">
        <f>H506</f>
        <v>336</v>
      </c>
      <c r="I505" s="211"/>
    </row>
    <row r="506" spans="1:9" ht="31.5" x14ac:dyDescent="0.25">
      <c r="A506" s="320" t="s">
        <v>144</v>
      </c>
      <c r="B506" s="314">
        <v>905</v>
      </c>
      <c r="C506" s="316" t="s">
        <v>133</v>
      </c>
      <c r="D506" s="316" t="s">
        <v>165</v>
      </c>
      <c r="E506" s="316" t="s">
        <v>906</v>
      </c>
      <c r="F506" s="316" t="s">
        <v>145</v>
      </c>
      <c r="G506" s="321">
        <f>336</f>
        <v>336</v>
      </c>
      <c r="H506" s="321">
        <f t="shared" ref="H506:H575" si="42">G506</f>
        <v>336</v>
      </c>
      <c r="I506" s="211"/>
    </row>
    <row r="507" spans="1:9" s="210" customFormat="1" ht="31.5" x14ac:dyDescent="0.25">
      <c r="A507" s="318" t="s">
        <v>930</v>
      </c>
      <c r="B507" s="315">
        <v>905</v>
      </c>
      <c r="C507" s="319" t="s">
        <v>133</v>
      </c>
      <c r="D507" s="319" t="s">
        <v>165</v>
      </c>
      <c r="E507" s="319" t="s">
        <v>907</v>
      </c>
      <c r="F507" s="319"/>
      <c r="G507" s="317">
        <f t="shared" ref="G507:H509" si="43">G508</f>
        <v>22</v>
      </c>
      <c r="H507" s="317">
        <f t="shared" si="43"/>
        <v>22</v>
      </c>
      <c r="I507" s="211"/>
    </row>
    <row r="508" spans="1:9" s="210" customFormat="1" ht="94.5" x14ac:dyDescent="0.25">
      <c r="A508" s="31" t="s">
        <v>1401</v>
      </c>
      <c r="B508" s="314">
        <v>905</v>
      </c>
      <c r="C508" s="316" t="s">
        <v>133</v>
      </c>
      <c r="D508" s="316" t="s">
        <v>165</v>
      </c>
      <c r="E508" s="316" t="s">
        <v>1400</v>
      </c>
      <c r="F508" s="316"/>
      <c r="G508" s="321">
        <f t="shared" si="43"/>
        <v>22</v>
      </c>
      <c r="H508" s="321">
        <f t="shared" si="43"/>
        <v>22</v>
      </c>
      <c r="I508" s="211"/>
    </row>
    <row r="509" spans="1:9" s="210" customFormat="1" ht="78.75" x14ac:dyDescent="0.25">
      <c r="A509" s="320" t="s">
        <v>142</v>
      </c>
      <c r="B509" s="314">
        <v>905</v>
      </c>
      <c r="C509" s="316" t="s">
        <v>133</v>
      </c>
      <c r="D509" s="316" t="s">
        <v>165</v>
      </c>
      <c r="E509" s="316" t="s">
        <v>1400</v>
      </c>
      <c r="F509" s="316" t="s">
        <v>143</v>
      </c>
      <c r="G509" s="321">
        <f>G510</f>
        <v>22</v>
      </c>
      <c r="H509" s="321">
        <f t="shared" si="43"/>
        <v>22</v>
      </c>
      <c r="I509" s="211"/>
    </row>
    <row r="510" spans="1:9" s="210" customFormat="1" ht="31.5" x14ac:dyDescent="0.25">
      <c r="A510" s="320" t="s">
        <v>144</v>
      </c>
      <c r="B510" s="314">
        <v>905</v>
      </c>
      <c r="C510" s="316" t="s">
        <v>133</v>
      </c>
      <c r="D510" s="316" t="s">
        <v>165</v>
      </c>
      <c r="E510" s="316" t="s">
        <v>1400</v>
      </c>
      <c r="F510" s="316" t="s">
        <v>145</v>
      </c>
      <c r="G510" s="321">
        <f>22</f>
        <v>22</v>
      </c>
      <c r="H510" s="321">
        <f>G510</f>
        <v>22</v>
      </c>
      <c r="I510" s="211"/>
    </row>
    <row r="511" spans="1:9" ht="15.75" x14ac:dyDescent="0.25">
      <c r="A511" s="318" t="s">
        <v>154</v>
      </c>
      <c r="B511" s="315">
        <v>905</v>
      </c>
      <c r="C511" s="319" t="s">
        <v>133</v>
      </c>
      <c r="D511" s="319" t="s">
        <v>155</v>
      </c>
      <c r="E511" s="319"/>
      <c r="F511" s="319"/>
      <c r="G511" s="317">
        <f>G512+G520</f>
        <v>6166.22</v>
      </c>
      <c r="H511" s="317">
        <f>H512+H520</f>
        <v>3139.82</v>
      </c>
      <c r="I511" s="211"/>
    </row>
    <row r="512" spans="1:9" ht="15.75" x14ac:dyDescent="0.25">
      <c r="A512" s="318" t="s">
        <v>156</v>
      </c>
      <c r="B512" s="315">
        <v>905</v>
      </c>
      <c r="C512" s="319" t="s">
        <v>133</v>
      </c>
      <c r="D512" s="319" t="s">
        <v>155</v>
      </c>
      <c r="E512" s="319" t="s">
        <v>910</v>
      </c>
      <c r="F512" s="319"/>
      <c r="G512" s="317">
        <f>G513</f>
        <v>2900</v>
      </c>
      <c r="H512" s="317">
        <f>H513</f>
        <v>2900</v>
      </c>
      <c r="I512" s="211"/>
    </row>
    <row r="513" spans="1:13" ht="31.5" x14ac:dyDescent="0.25">
      <c r="A513" s="318" t="s">
        <v>914</v>
      </c>
      <c r="B513" s="315">
        <v>905</v>
      </c>
      <c r="C513" s="319" t="s">
        <v>133</v>
      </c>
      <c r="D513" s="319" t="s">
        <v>155</v>
      </c>
      <c r="E513" s="319" t="s">
        <v>909</v>
      </c>
      <c r="F513" s="319"/>
      <c r="G513" s="317">
        <f>G514+G517</f>
        <v>2900</v>
      </c>
      <c r="H513" s="317">
        <f>H514+H517</f>
        <v>2900</v>
      </c>
      <c r="I513" s="211"/>
    </row>
    <row r="514" spans="1:13" ht="47.25" x14ac:dyDescent="0.25">
      <c r="A514" s="320" t="s">
        <v>403</v>
      </c>
      <c r="B514" s="314">
        <v>905</v>
      </c>
      <c r="C514" s="316" t="s">
        <v>133</v>
      </c>
      <c r="D514" s="316" t="s">
        <v>155</v>
      </c>
      <c r="E514" s="316" t="s">
        <v>1167</v>
      </c>
      <c r="F514" s="316"/>
      <c r="G514" s="321">
        <f>G515</f>
        <v>2900</v>
      </c>
      <c r="H514" s="321">
        <f>H515</f>
        <v>2900</v>
      </c>
      <c r="I514" s="211"/>
    </row>
    <row r="515" spans="1:13" ht="31.5" x14ac:dyDescent="0.25">
      <c r="A515" s="320" t="s">
        <v>146</v>
      </c>
      <c r="B515" s="314">
        <v>905</v>
      </c>
      <c r="C515" s="316" t="s">
        <v>133</v>
      </c>
      <c r="D515" s="316" t="s">
        <v>155</v>
      </c>
      <c r="E515" s="316" t="s">
        <v>1167</v>
      </c>
      <c r="F515" s="316" t="s">
        <v>147</v>
      </c>
      <c r="G515" s="321">
        <f>G516</f>
        <v>2900</v>
      </c>
      <c r="H515" s="321">
        <f>H516</f>
        <v>2900</v>
      </c>
      <c r="I515" s="211"/>
    </row>
    <row r="516" spans="1:13" ht="31.5" x14ac:dyDescent="0.25">
      <c r="A516" s="320" t="s">
        <v>148</v>
      </c>
      <c r="B516" s="314">
        <v>905</v>
      </c>
      <c r="C516" s="316" t="s">
        <v>133</v>
      </c>
      <c r="D516" s="316" t="s">
        <v>155</v>
      </c>
      <c r="E516" s="316" t="s">
        <v>1167</v>
      </c>
      <c r="F516" s="316" t="s">
        <v>149</v>
      </c>
      <c r="G516" s="321">
        <f>2900</f>
        <v>2900</v>
      </c>
      <c r="H516" s="321">
        <f t="shared" si="42"/>
        <v>2900</v>
      </c>
      <c r="I516" s="211"/>
    </row>
    <row r="517" spans="1:13" ht="31.5" hidden="1" x14ac:dyDescent="0.25">
      <c r="A517" s="320" t="s">
        <v>1002</v>
      </c>
      <c r="B517" s="314">
        <v>905</v>
      </c>
      <c r="C517" s="316" t="s">
        <v>133</v>
      </c>
      <c r="D517" s="316" t="s">
        <v>155</v>
      </c>
      <c r="E517" s="316" t="s">
        <v>1168</v>
      </c>
      <c r="F517" s="316"/>
      <c r="G517" s="321">
        <f>'Пр.4 ведом.20'!G550</f>
        <v>0</v>
      </c>
      <c r="H517" s="321">
        <f t="shared" si="42"/>
        <v>0</v>
      </c>
      <c r="I517" s="211"/>
    </row>
    <row r="518" spans="1:13" ht="31.5" hidden="1" x14ac:dyDescent="0.25">
      <c r="A518" s="320" t="s">
        <v>146</v>
      </c>
      <c r="B518" s="314">
        <v>905</v>
      </c>
      <c r="C518" s="316" t="s">
        <v>133</v>
      </c>
      <c r="D518" s="316" t="s">
        <v>155</v>
      </c>
      <c r="E518" s="316" t="s">
        <v>1168</v>
      </c>
      <c r="F518" s="316" t="s">
        <v>147</v>
      </c>
      <c r="G518" s="321">
        <f>'Пр.4 ведом.20'!G551</f>
        <v>0</v>
      </c>
      <c r="H518" s="321">
        <f t="shared" si="42"/>
        <v>0</v>
      </c>
      <c r="I518" s="211"/>
    </row>
    <row r="519" spans="1:13" ht="31.5" hidden="1" x14ac:dyDescent="0.25">
      <c r="A519" s="320" t="s">
        <v>148</v>
      </c>
      <c r="B519" s="314">
        <v>905</v>
      </c>
      <c r="C519" s="316" t="s">
        <v>133</v>
      </c>
      <c r="D519" s="316" t="s">
        <v>155</v>
      </c>
      <c r="E519" s="316" t="s">
        <v>1168</v>
      </c>
      <c r="F519" s="316" t="s">
        <v>149</v>
      </c>
      <c r="G519" s="321">
        <f>'Пр.4 ведом.20'!G552</f>
        <v>0</v>
      </c>
      <c r="H519" s="321">
        <f t="shared" si="42"/>
        <v>0</v>
      </c>
      <c r="I519" s="211"/>
    </row>
    <row r="520" spans="1:13" ht="63" x14ac:dyDescent="0.25">
      <c r="A520" s="318" t="s">
        <v>1421</v>
      </c>
      <c r="B520" s="315">
        <v>905</v>
      </c>
      <c r="C520" s="319" t="s">
        <v>133</v>
      </c>
      <c r="D520" s="319" t="s">
        <v>155</v>
      </c>
      <c r="E520" s="319" t="s">
        <v>804</v>
      </c>
      <c r="F520" s="319"/>
      <c r="G520" s="317">
        <f t="shared" ref="G520:H523" si="44">G521</f>
        <v>3266.2200000000003</v>
      </c>
      <c r="H520" s="317">
        <f t="shared" si="44"/>
        <v>239.82000000000016</v>
      </c>
      <c r="I520" s="211"/>
    </row>
    <row r="521" spans="1:13" ht="31.5" x14ac:dyDescent="0.25">
      <c r="A521" s="318" t="s">
        <v>1001</v>
      </c>
      <c r="B521" s="315">
        <v>905</v>
      </c>
      <c r="C521" s="319" t="s">
        <v>133</v>
      </c>
      <c r="D521" s="319" t="s">
        <v>155</v>
      </c>
      <c r="E521" s="319" t="s">
        <v>1180</v>
      </c>
      <c r="F521" s="319"/>
      <c r="G521" s="317">
        <f t="shared" si="44"/>
        <v>3266.2200000000003</v>
      </c>
      <c r="H521" s="317">
        <f t="shared" si="44"/>
        <v>239.82000000000016</v>
      </c>
      <c r="I521" s="211"/>
    </row>
    <row r="522" spans="1:13" ht="31.5" x14ac:dyDescent="0.25">
      <c r="A522" s="320" t="s">
        <v>814</v>
      </c>
      <c r="B522" s="314">
        <v>905</v>
      </c>
      <c r="C522" s="316" t="s">
        <v>133</v>
      </c>
      <c r="D522" s="316" t="s">
        <v>155</v>
      </c>
      <c r="E522" s="316" t="s">
        <v>1181</v>
      </c>
      <c r="F522" s="316"/>
      <c r="G522" s="321">
        <f t="shared" si="44"/>
        <v>3266.2200000000003</v>
      </c>
      <c r="H522" s="321">
        <f t="shared" si="44"/>
        <v>239.82000000000016</v>
      </c>
      <c r="I522" s="211"/>
    </row>
    <row r="523" spans="1:13" ht="31.5" x14ac:dyDescent="0.25">
      <c r="A523" s="320" t="s">
        <v>146</v>
      </c>
      <c r="B523" s="314">
        <v>905</v>
      </c>
      <c r="C523" s="316" t="s">
        <v>133</v>
      </c>
      <c r="D523" s="316" t="s">
        <v>155</v>
      </c>
      <c r="E523" s="316" t="s">
        <v>1181</v>
      </c>
      <c r="F523" s="316" t="s">
        <v>147</v>
      </c>
      <c r="G523" s="321">
        <f t="shared" si="44"/>
        <v>3266.2200000000003</v>
      </c>
      <c r="H523" s="321">
        <f t="shared" si="44"/>
        <v>239.82000000000016</v>
      </c>
      <c r="I523" s="211"/>
    </row>
    <row r="524" spans="1:13" ht="31.5" x14ac:dyDescent="0.25">
      <c r="A524" s="320" t="s">
        <v>148</v>
      </c>
      <c r="B524" s="314">
        <v>905</v>
      </c>
      <c r="C524" s="316" t="s">
        <v>133</v>
      </c>
      <c r="D524" s="316" t="s">
        <v>155</v>
      </c>
      <c r="E524" s="316" t="s">
        <v>1181</v>
      </c>
      <c r="F524" s="316" t="s">
        <v>149</v>
      </c>
      <c r="G524" s="321">
        <f>239.82+3026.4</f>
        <v>3266.2200000000003</v>
      </c>
      <c r="H524" s="321">
        <f>G524-3026.4</f>
        <v>239.82000000000016</v>
      </c>
      <c r="I524" s="211"/>
    </row>
    <row r="525" spans="1:13" ht="15.75" x14ac:dyDescent="0.25">
      <c r="A525" s="41" t="s">
        <v>405</v>
      </c>
      <c r="B525" s="315">
        <v>905</v>
      </c>
      <c r="C525" s="319" t="s">
        <v>249</v>
      </c>
      <c r="D525" s="319"/>
      <c r="E525" s="319"/>
      <c r="F525" s="319"/>
      <c r="G525" s="317">
        <f t="shared" ref="G525:H527" si="45">G526</f>
        <v>1181</v>
      </c>
      <c r="H525" s="317">
        <f t="shared" si="45"/>
        <v>1181</v>
      </c>
      <c r="I525" s="211"/>
      <c r="M525" s="22"/>
    </row>
    <row r="526" spans="1:13" ht="15.75" x14ac:dyDescent="0.25">
      <c r="A526" s="41" t="s">
        <v>406</v>
      </c>
      <c r="B526" s="315">
        <v>905</v>
      </c>
      <c r="C526" s="319" t="s">
        <v>249</v>
      </c>
      <c r="D526" s="319" t="s">
        <v>133</v>
      </c>
      <c r="E526" s="319"/>
      <c r="F526" s="319"/>
      <c r="G526" s="317">
        <f t="shared" si="45"/>
        <v>1181</v>
      </c>
      <c r="H526" s="317">
        <f t="shared" si="45"/>
        <v>1181</v>
      </c>
      <c r="I526" s="211"/>
    </row>
    <row r="527" spans="1:13" ht="15.75" x14ac:dyDescent="0.25">
      <c r="A527" s="318" t="s">
        <v>156</v>
      </c>
      <c r="B527" s="315">
        <v>905</v>
      </c>
      <c r="C527" s="319" t="s">
        <v>249</v>
      </c>
      <c r="D527" s="319" t="s">
        <v>133</v>
      </c>
      <c r="E527" s="319" t="s">
        <v>910</v>
      </c>
      <c r="F527" s="319"/>
      <c r="G527" s="317">
        <f t="shared" si="45"/>
        <v>1181</v>
      </c>
      <c r="H527" s="317">
        <f t="shared" si="45"/>
        <v>1181</v>
      </c>
      <c r="I527" s="211"/>
    </row>
    <row r="528" spans="1:13" ht="31.5" x14ac:dyDescent="0.25">
      <c r="A528" s="318" t="s">
        <v>914</v>
      </c>
      <c r="B528" s="315">
        <v>905</v>
      </c>
      <c r="C528" s="319" t="s">
        <v>249</v>
      </c>
      <c r="D528" s="319" t="s">
        <v>133</v>
      </c>
      <c r="E528" s="319" t="s">
        <v>909</v>
      </c>
      <c r="F528" s="319"/>
      <c r="G528" s="317">
        <f>G529+G532</f>
        <v>1181</v>
      </c>
      <c r="H528" s="317">
        <f>H529+H532</f>
        <v>1181</v>
      </c>
      <c r="I528" s="211"/>
    </row>
    <row r="529" spans="1:9" ht="31.5" x14ac:dyDescent="0.25">
      <c r="A529" s="323" t="s">
        <v>413</v>
      </c>
      <c r="B529" s="314">
        <v>905</v>
      </c>
      <c r="C529" s="316" t="s">
        <v>249</v>
      </c>
      <c r="D529" s="316" t="s">
        <v>133</v>
      </c>
      <c r="E529" s="316" t="s">
        <v>1095</v>
      </c>
      <c r="F529" s="316"/>
      <c r="G529" s="321">
        <f>G530</f>
        <v>270.39999999999998</v>
      </c>
      <c r="H529" s="321">
        <f>H530</f>
        <v>270.39999999999998</v>
      </c>
      <c r="I529" s="211"/>
    </row>
    <row r="530" spans="1:9" ht="31.5" x14ac:dyDescent="0.25">
      <c r="A530" s="320" t="s">
        <v>146</v>
      </c>
      <c r="B530" s="314">
        <v>905</v>
      </c>
      <c r="C530" s="316" t="s">
        <v>249</v>
      </c>
      <c r="D530" s="316" t="s">
        <v>133</v>
      </c>
      <c r="E530" s="316" t="s">
        <v>1095</v>
      </c>
      <c r="F530" s="316" t="s">
        <v>147</v>
      </c>
      <c r="G530" s="321">
        <f>G531</f>
        <v>270.39999999999998</v>
      </c>
      <c r="H530" s="321">
        <f>H531</f>
        <v>270.39999999999998</v>
      </c>
      <c r="I530" s="211"/>
    </row>
    <row r="531" spans="1:9" ht="31.5" x14ac:dyDescent="0.25">
      <c r="A531" s="320" t="s">
        <v>148</v>
      </c>
      <c r="B531" s="314">
        <v>905</v>
      </c>
      <c r="C531" s="316" t="s">
        <v>249</v>
      </c>
      <c r="D531" s="316" t="s">
        <v>133</v>
      </c>
      <c r="E531" s="316" t="s">
        <v>1095</v>
      </c>
      <c r="F531" s="316" t="s">
        <v>149</v>
      </c>
      <c r="G531" s="321">
        <f>270.4</f>
        <v>270.39999999999998</v>
      </c>
      <c r="H531" s="321">
        <f t="shared" si="42"/>
        <v>270.39999999999998</v>
      </c>
      <c r="I531" s="211"/>
    </row>
    <row r="532" spans="1:9" ht="31.5" x14ac:dyDescent="0.25">
      <c r="A532" s="323" t="s">
        <v>1003</v>
      </c>
      <c r="B532" s="314">
        <v>905</v>
      </c>
      <c r="C532" s="316" t="s">
        <v>249</v>
      </c>
      <c r="D532" s="316" t="s">
        <v>133</v>
      </c>
      <c r="E532" s="316" t="s">
        <v>1096</v>
      </c>
      <c r="F532" s="316"/>
      <c r="G532" s="321">
        <f>G533</f>
        <v>910.6</v>
      </c>
      <c r="H532" s="321">
        <f>H533</f>
        <v>910.6</v>
      </c>
      <c r="I532" s="211"/>
    </row>
    <row r="533" spans="1:9" ht="31.5" x14ac:dyDescent="0.25">
      <c r="A533" s="320" t="s">
        <v>146</v>
      </c>
      <c r="B533" s="314">
        <v>905</v>
      </c>
      <c r="C533" s="316" t="s">
        <v>249</v>
      </c>
      <c r="D533" s="316" t="s">
        <v>133</v>
      </c>
      <c r="E533" s="316" t="s">
        <v>1096</v>
      </c>
      <c r="F533" s="316" t="s">
        <v>147</v>
      </c>
      <c r="G533" s="321">
        <f>G534</f>
        <v>910.6</v>
      </c>
      <c r="H533" s="321">
        <f>H534</f>
        <v>910.6</v>
      </c>
      <c r="I533" s="211"/>
    </row>
    <row r="534" spans="1:9" ht="31.5" x14ac:dyDescent="0.25">
      <c r="A534" s="320" t="s">
        <v>148</v>
      </c>
      <c r="B534" s="314">
        <v>905</v>
      </c>
      <c r="C534" s="316" t="s">
        <v>249</v>
      </c>
      <c r="D534" s="316" t="s">
        <v>133</v>
      </c>
      <c r="E534" s="316" t="s">
        <v>1096</v>
      </c>
      <c r="F534" s="316" t="s">
        <v>149</v>
      </c>
      <c r="G534" s="321">
        <f>910.6</f>
        <v>910.6</v>
      </c>
      <c r="H534" s="321">
        <f t="shared" si="42"/>
        <v>910.6</v>
      </c>
      <c r="I534" s="211"/>
    </row>
    <row r="535" spans="1:9" ht="31.5" x14ac:dyDescent="0.25">
      <c r="A535" s="315" t="s">
        <v>418</v>
      </c>
      <c r="B535" s="315">
        <v>906</v>
      </c>
      <c r="C535" s="319"/>
      <c r="D535" s="319"/>
      <c r="E535" s="319"/>
      <c r="F535" s="319"/>
      <c r="G535" s="317">
        <f>G546+G536</f>
        <v>363685</v>
      </c>
      <c r="H535" s="317">
        <f>H546+H536</f>
        <v>363693.5</v>
      </c>
      <c r="I535" s="211"/>
    </row>
    <row r="536" spans="1:9" ht="15.75" x14ac:dyDescent="0.25">
      <c r="A536" s="318" t="s">
        <v>132</v>
      </c>
      <c r="B536" s="315">
        <v>906</v>
      </c>
      <c r="C536" s="319" t="s">
        <v>133</v>
      </c>
      <c r="D536" s="319"/>
      <c r="E536" s="319"/>
      <c r="F536" s="319"/>
      <c r="G536" s="317">
        <f t="shared" ref="G536:H539" si="46">G537</f>
        <v>50</v>
      </c>
      <c r="H536" s="317">
        <f t="shared" si="46"/>
        <v>50</v>
      </c>
      <c r="I536" s="211"/>
    </row>
    <row r="537" spans="1:9" ht="15.75" x14ac:dyDescent="0.25">
      <c r="A537" s="34" t="s">
        <v>154</v>
      </c>
      <c r="B537" s="315">
        <v>906</v>
      </c>
      <c r="C537" s="319" t="s">
        <v>133</v>
      </c>
      <c r="D537" s="319" t="s">
        <v>155</v>
      </c>
      <c r="E537" s="319"/>
      <c r="F537" s="319"/>
      <c r="G537" s="317">
        <f t="shared" si="46"/>
        <v>50</v>
      </c>
      <c r="H537" s="317">
        <f t="shared" si="46"/>
        <v>50</v>
      </c>
      <c r="I537" s="211"/>
    </row>
    <row r="538" spans="1:9" ht="47.25" x14ac:dyDescent="0.25">
      <c r="A538" s="318" t="s">
        <v>1416</v>
      </c>
      <c r="B538" s="315">
        <v>906</v>
      </c>
      <c r="C538" s="319" t="s">
        <v>133</v>
      </c>
      <c r="D538" s="319" t="s">
        <v>155</v>
      </c>
      <c r="E538" s="319" t="s">
        <v>350</v>
      </c>
      <c r="F538" s="319"/>
      <c r="G538" s="317">
        <f t="shared" si="46"/>
        <v>50</v>
      </c>
      <c r="H538" s="317">
        <f t="shared" si="46"/>
        <v>50</v>
      </c>
      <c r="I538" s="211"/>
    </row>
    <row r="539" spans="1:9" ht="31.5" x14ac:dyDescent="0.25">
      <c r="A539" s="218" t="s">
        <v>1223</v>
      </c>
      <c r="B539" s="315">
        <v>906</v>
      </c>
      <c r="C539" s="319" t="s">
        <v>133</v>
      </c>
      <c r="D539" s="319" t="s">
        <v>155</v>
      </c>
      <c r="E539" s="319" t="s">
        <v>1224</v>
      </c>
      <c r="F539" s="319"/>
      <c r="G539" s="317">
        <f t="shared" si="46"/>
        <v>50</v>
      </c>
      <c r="H539" s="317">
        <f t="shared" si="46"/>
        <v>50</v>
      </c>
      <c r="I539" s="211"/>
    </row>
    <row r="540" spans="1:9" ht="31.5" x14ac:dyDescent="0.25">
      <c r="A540" s="98" t="s">
        <v>351</v>
      </c>
      <c r="B540" s="314">
        <v>906</v>
      </c>
      <c r="C540" s="316" t="s">
        <v>133</v>
      </c>
      <c r="D540" s="316" t="s">
        <v>155</v>
      </c>
      <c r="E540" s="316" t="s">
        <v>1225</v>
      </c>
      <c r="F540" s="316"/>
      <c r="G540" s="321">
        <f>G541</f>
        <v>50</v>
      </c>
      <c r="H540" s="321">
        <f>H541</f>
        <v>50</v>
      </c>
      <c r="I540" s="211"/>
    </row>
    <row r="541" spans="1:9" ht="31.5" x14ac:dyDescent="0.25">
      <c r="A541" s="320" t="s">
        <v>146</v>
      </c>
      <c r="B541" s="314">
        <v>906</v>
      </c>
      <c r="C541" s="316" t="s">
        <v>133</v>
      </c>
      <c r="D541" s="316" t="s">
        <v>155</v>
      </c>
      <c r="E541" s="316" t="s">
        <v>1225</v>
      </c>
      <c r="F541" s="316" t="s">
        <v>147</v>
      </c>
      <c r="G541" s="321">
        <f>G542</f>
        <v>50</v>
      </c>
      <c r="H541" s="321">
        <f>H542</f>
        <v>50</v>
      </c>
      <c r="I541" s="211"/>
    </row>
    <row r="542" spans="1:9" ht="31.5" x14ac:dyDescent="0.25">
      <c r="A542" s="320" t="s">
        <v>148</v>
      </c>
      <c r="B542" s="314">
        <v>906</v>
      </c>
      <c r="C542" s="316" t="s">
        <v>133</v>
      </c>
      <c r="D542" s="316" t="s">
        <v>155</v>
      </c>
      <c r="E542" s="316" t="s">
        <v>1225</v>
      </c>
      <c r="F542" s="316" t="s">
        <v>149</v>
      </c>
      <c r="G542" s="321">
        <f>50</f>
        <v>50</v>
      </c>
      <c r="H542" s="321">
        <f t="shared" si="42"/>
        <v>50</v>
      </c>
      <c r="I542" s="211"/>
    </row>
    <row r="543" spans="1:9" ht="31.5" hidden="1" x14ac:dyDescent="0.25">
      <c r="A543" s="31" t="s">
        <v>794</v>
      </c>
      <c r="B543" s="314">
        <v>906</v>
      </c>
      <c r="C543" s="316" t="s">
        <v>133</v>
      </c>
      <c r="D543" s="316" t="s">
        <v>155</v>
      </c>
      <c r="E543" s="316" t="s">
        <v>1258</v>
      </c>
      <c r="F543" s="316"/>
      <c r="G543" s="321">
        <f>'Пр.4 ведом.20'!G582</f>
        <v>0</v>
      </c>
      <c r="H543" s="321">
        <f t="shared" si="42"/>
        <v>0</v>
      </c>
      <c r="I543" s="211"/>
    </row>
    <row r="544" spans="1:9" ht="31.5" hidden="1" x14ac:dyDescent="0.25">
      <c r="A544" s="320" t="s">
        <v>146</v>
      </c>
      <c r="B544" s="314">
        <v>906</v>
      </c>
      <c r="C544" s="316" t="s">
        <v>133</v>
      </c>
      <c r="D544" s="316" t="s">
        <v>155</v>
      </c>
      <c r="E544" s="316" t="s">
        <v>1258</v>
      </c>
      <c r="F544" s="316" t="s">
        <v>147</v>
      </c>
      <c r="G544" s="321">
        <f>'Пр.4 ведом.20'!G583</f>
        <v>0</v>
      </c>
      <c r="H544" s="321">
        <f t="shared" si="42"/>
        <v>0</v>
      </c>
      <c r="I544" s="211"/>
    </row>
    <row r="545" spans="1:9" ht="31.5" hidden="1" x14ac:dyDescent="0.25">
      <c r="A545" s="320" t="s">
        <v>148</v>
      </c>
      <c r="B545" s="314">
        <v>906</v>
      </c>
      <c r="C545" s="316" t="s">
        <v>133</v>
      </c>
      <c r="D545" s="316" t="s">
        <v>155</v>
      </c>
      <c r="E545" s="316" t="s">
        <v>1258</v>
      </c>
      <c r="F545" s="316" t="s">
        <v>149</v>
      </c>
      <c r="G545" s="321">
        <f>'Пр.4 ведом.20'!G584</f>
        <v>0</v>
      </c>
      <c r="H545" s="321">
        <f t="shared" si="42"/>
        <v>0</v>
      </c>
      <c r="I545" s="211"/>
    </row>
    <row r="546" spans="1:9" ht="15.75" x14ac:dyDescent="0.25">
      <c r="A546" s="318" t="s">
        <v>278</v>
      </c>
      <c r="B546" s="315">
        <v>906</v>
      </c>
      <c r="C546" s="319" t="s">
        <v>279</v>
      </c>
      <c r="D546" s="319"/>
      <c r="E546" s="319"/>
      <c r="F546" s="319"/>
      <c r="G546" s="317">
        <f>G547+G618+G736+G746+G702</f>
        <v>363635</v>
      </c>
      <c r="H546" s="317">
        <f>H547+H618+H736+H746+H702</f>
        <v>363643.5</v>
      </c>
      <c r="I546" s="211"/>
    </row>
    <row r="547" spans="1:9" ht="15.75" x14ac:dyDescent="0.25">
      <c r="A547" s="318" t="s">
        <v>419</v>
      </c>
      <c r="B547" s="315">
        <v>906</v>
      </c>
      <c r="C547" s="319" t="s">
        <v>279</v>
      </c>
      <c r="D547" s="319" t="s">
        <v>133</v>
      </c>
      <c r="E547" s="319"/>
      <c r="F547" s="319"/>
      <c r="G547" s="317">
        <f>G548+G601+G613</f>
        <v>109329.5</v>
      </c>
      <c r="H547" s="317">
        <f>H548+H601+H613</f>
        <v>109329.5</v>
      </c>
      <c r="I547" s="211"/>
    </row>
    <row r="548" spans="1:9" ht="47.25" x14ac:dyDescent="0.25">
      <c r="A548" s="318" t="s">
        <v>1422</v>
      </c>
      <c r="B548" s="315">
        <v>906</v>
      </c>
      <c r="C548" s="319" t="s">
        <v>279</v>
      </c>
      <c r="D548" s="319" t="s">
        <v>133</v>
      </c>
      <c r="E548" s="319" t="s">
        <v>421</v>
      </c>
      <c r="F548" s="319"/>
      <c r="G548" s="317">
        <f>G549+G573</f>
        <v>108865.2</v>
      </c>
      <c r="H548" s="317">
        <f>H549+H573</f>
        <v>108865.2</v>
      </c>
      <c r="I548" s="211"/>
    </row>
    <row r="549" spans="1:9" ht="31.5" x14ac:dyDescent="0.25">
      <c r="A549" s="318" t="s">
        <v>422</v>
      </c>
      <c r="B549" s="315">
        <v>906</v>
      </c>
      <c r="C549" s="319" t="s">
        <v>279</v>
      </c>
      <c r="D549" s="319" t="s">
        <v>133</v>
      </c>
      <c r="E549" s="319" t="s">
        <v>423</v>
      </c>
      <c r="F549" s="319"/>
      <c r="G549" s="317">
        <f>G550+G557</f>
        <v>97867.5</v>
      </c>
      <c r="H549" s="317">
        <f>H550+H557</f>
        <v>97867.5</v>
      </c>
      <c r="I549" s="211"/>
    </row>
    <row r="550" spans="1:9" ht="31.5" x14ac:dyDescent="0.25">
      <c r="A550" s="318" t="s">
        <v>1026</v>
      </c>
      <c r="B550" s="315">
        <v>906</v>
      </c>
      <c r="C550" s="319" t="s">
        <v>279</v>
      </c>
      <c r="D550" s="319" t="s">
        <v>133</v>
      </c>
      <c r="E550" s="319" t="s">
        <v>1004</v>
      </c>
      <c r="F550" s="319"/>
      <c r="G550" s="317">
        <f>G551+G554</f>
        <v>12027</v>
      </c>
      <c r="H550" s="317">
        <f>H551+H554</f>
        <v>12027</v>
      </c>
      <c r="I550" s="211"/>
    </row>
    <row r="551" spans="1:9" ht="39.75" customHeight="1" x14ac:dyDescent="0.25">
      <c r="A551" s="320" t="s">
        <v>1061</v>
      </c>
      <c r="B551" s="314">
        <v>906</v>
      </c>
      <c r="C551" s="316" t="s">
        <v>279</v>
      </c>
      <c r="D551" s="316" t="s">
        <v>133</v>
      </c>
      <c r="E551" s="316" t="s">
        <v>1060</v>
      </c>
      <c r="F551" s="316"/>
      <c r="G551" s="321">
        <f>G552</f>
        <v>7224.3</v>
      </c>
      <c r="H551" s="321">
        <f>H552</f>
        <v>7224.3</v>
      </c>
      <c r="I551" s="211"/>
    </row>
    <row r="552" spans="1:9" ht="31.5" x14ac:dyDescent="0.25">
      <c r="A552" s="320" t="s">
        <v>287</v>
      </c>
      <c r="B552" s="314">
        <v>906</v>
      </c>
      <c r="C552" s="316" t="s">
        <v>279</v>
      </c>
      <c r="D552" s="316" t="s">
        <v>133</v>
      </c>
      <c r="E552" s="316" t="s">
        <v>1060</v>
      </c>
      <c r="F552" s="316" t="s">
        <v>288</v>
      </c>
      <c r="G552" s="321">
        <f>G553</f>
        <v>7224.3</v>
      </c>
      <c r="H552" s="321">
        <f>H553</f>
        <v>7224.3</v>
      </c>
      <c r="I552" s="211"/>
    </row>
    <row r="553" spans="1:9" ht="15.75" x14ac:dyDescent="0.25">
      <c r="A553" s="320" t="s">
        <v>289</v>
      </c>
      <c r="B553" s="314">
        <v>906</v>
      </c>
      <c r="C553" s="316" t="s">
        <v>279</v>
      </c>
      <c r="D553" s="316" t="s">
        <v>133</v>
      </c>
      <c r="E553" s="316" t="s">
        <v>1060</v>
      </c>
      <c r="F553" s="316" t="s">
        <v>290</v>
      </c>
      <c r="G553" s="321">
        <f>7224.3</f>
        <v>7224.3</v>
      </c>
      <c r="H553" s="321">
        <f t="shared" si="42"/>
        <v>7224.3</v>
      </c>
      <c r="I553" s="211"/>
    </row>
    <row r="554" spans="1:9" s="210" customFormat="1" ht="63" x14ac:dyDescent="0.25">
      <c r="A554" s="320" t="s">
        <v>1236</v>
      </c>
      <c r="B554" s="314">
        <v>906</v>
      </c>
      <c r="C554" s="316" t="s">
        <v>279</v>
      </c>
      <c r="D554" s="316" t="s">
        <v>133</v>
      </c>
      <c r="E554" s="316" t="s">
        <v>1062</v>
      </c>
      <c r="F554" s="316"/>
      <c r="G554" s="321">
        <f>G555</f>
        <v>4802.7</v>
      </c>
      <c r="H554" s="321">
        <f>H555</f>
        <v>4802.7</v>
      </c>
      <c r="I554" s="211"/>
    </row>
    <row r="555" spans="1:9" s="210" customFormat="1" ht="31.5" x14ac:dyDescent="0.25">
      <c r="A555" s="320" t="s">
        <v>287</v>
      </c>
      <c r="B555" s="314">
        <v>906</v>
      </c>
      <c r="C555" s="316" t="s">
        <v>279</v>
      </c>
      <c r="D555" s="316" t="s">
        <v>133</v>
      </c>
      <c r="E555" s="316" t="s">
        <v>1062</v>
      </c>
      <c r="F555" s="316" t="s">
        <v>288</v>
      </c>
      <c r="G555" s="321">
        <f>G556</f>
        <v>4802.7</v>
      </c>
      <c r="H555" s="321">
        <f>H556</f>
        <v>4802.7</v>
      </c>
      <c r="I555" s="211"/>
    </row>
    <row r="556" spans="1:9" s="210" customFormat="1" ht="15.75" x14ac:dyDescent="0.25">
      <c r="A556" s="320" t="s">
        <v>289</v>
      </c>
      <c r="B556" s="314">
        <v>906</v>
      </c>
      <c r="C556" s="316" t="s">
        <v>279</v>
      </c>
      <c r="D556" s="316" t="s">
        <v>133</v>
      </c>
      <c r="E556" s="316" t="s">
        <v>1062</v>
      </c>
      <c r="F556" s="316" t="s">
        <v>290</v>
      </c>
      <c r="G556" s="321">
        <f>4802.7</f>
        <v>4802.7</v>
      </c>
      <c r="H556" s="321">
        <f t="shared" ref="H556" si="47">G556</f>
        <v>4802.7</v>
      </c>
      <c r="I556" s="211"/>
    </row>
    <row r="557" spans="1:9" ht="47.25" x14ac:dyDescent="0.25">
      <c r="A557" s="318" t="s">
        <v>969</v>
      </c>
      <c r="B557" s="315">
        <v>906</v>
      </c>
      <c r="C557" s="319" t="s">
        <v>279</v>
      </c>
      <c r="D557" s="319" t="s">
        <v>133</v>
      </c>
      <c r="E557" s="319" t="s">
        <v>1019</v>
      </c>
      <c r="F557" s="319"/>
      <c r="G557" s="44">
        <f>G561+G564+G567+G570+G558</f>
        <v>85840.5</v>
      </c>
      <c r="H557" s="44">
        <f>H561+H564+H567+H570+H558</f>
        <v>85840.5</v>
      </c>
      <c r="I557" s="211"/>
    </row>
    <row r="558" spans="1:9" s="309" customFormat="1" ht="94.5" x14ac:dyDescent="0.25">
      <c r="A558" s="31" t="s">
        <v>308</v>
      </c>
      <c r="B558" s="314">
        <v>906</v>
      </c>
      <c r="C558" s="316" t="s">
        <v>279</v>
      </c>
      <c r="D558" s="316" t="s">
        <v>133</v>
      </c>
      <c r="E558" s="316" t="s">
        <v>1507</v>
      </c>
      <c r="F558" s="316"/>
      <c r="G558" s="322">
        <f>G559</f>
        <v>2916.1</v>
      </c>
      <c r="H558" s="322">
        <f>H559</f>
        <v>2916.1</v>
      </c>
      <c r="I558" s="310"/>
    </row>
    <row r="559" spans="1:9" s="309" customFormat="1" ht="31.5" x14ac:dyDescent="0.25">
      <c r="A559" s="320" t="s">
        <v>287</v>
      </c>
      <c r="B559" s="314">
        <v>906</v>
      </c>
      <c r="C559" s="316" t="s">
        <v>279</v>
      </c>
      <c r="D559" s="316" t="s">
        <v>133</v>
      </c>
      <c r="E559" s="316" t="s">
        <v>1507</v>
      </c>
      <c r="F559" s="316" t="s">
        <v>288</v>
      </c>
      <c r="G559" s="322">
        <f>G560</f>
        <v>2916.1</v>
      </c>
      <c r="H559" s="322">
        <f>H560</f>
        <v>2916.1</v>
      </c>
      <c r="I559" s="310"/>
    </row>
    <row r="560" spans="1:9" s="309" customFormat="1" ht="15.75" x14ac:dyDescent="0.25">
      <c r="A560" s="320" t="s">
        <v>289</v>
      </c>
      <c r="B560" s="314">
        <v>906</v>
      </c>
      <c r="C560" s="316" t="s">
        <v>279</v>
      </c>
      <c r="D560" s="316" t="s">
        <v>133</v>
      </c>
      <c r="E560" s="316" t="s">
        <v>1507</v>
      </c>
      <c r="F560" s="316" t="s">
        <v>290</v>
      </c>
      <c r="G560" s="322">
        <v>2916.1</v>
      </c>
      <c r="H560" s="322">
        <v>2916.1</v>
      </c>
      <c r="I560" s="310"/>
    </row>
    <row r="561" spans="1:9" ht="66.75" customHeight="1" x14ac:dyDescent="0.25">
      <c r="A561" s="31" t="s">
        <v>304</v>
      </c>
      <c r="B561" s="314">
        <v>906</v>
      </c>
      <c r="C561" s="316" t="s">
        <v>279</v>
      </c>
      <c r="D561" s="316" t="s">
        <v>133</v>
      </c>
      <c r="E561" s="316" t="s">
        <v>1018</v>
      </c>
      <c r="F561" s="316"/>
      <c r="G561" s="321">
        <f>G562</f>
        <v>559.70000000000005</v>
      </c>
      <c r="H561" s="321">
        <f>H562</f>
        <v>559.70000000000005</v>
      </c>
      <c r="I561" s="211"/>
    </row>
    <row r="562" spans="1:9" ht="31.5" x14ac:dyDescent="0.25">
      <c r="A562" s="320" t="s">
        <v>287</v>
      </c>
      <c r="B562" s="314">
        <v>906</v>
      </c>
      <c r="C562" s="316" t="s">
        <v>279</v>
      </c>
      <c r="D562" s="316" t="s">
        <v>133</v>
      </c>
      <c r="E562" s="316" t="s">
        <v>1018</v>
      </c>
      <c r="F562" s="316" t="s">
        <v>288</v>
      </c>
      <c r="G562" s="321">
        <f>G563</f>
        <v>559.70000000000005</v>
      </c>
      <c r="H562" s="321">
        <f>H563</f>
        <v>559.70000000000005</v>
      </c>
      <c r="I562" s="211"/>
    </row>
    <row r="563" spans="1:9" ht="15.75" x14ac:dyDescent="0.25">
      <c r="A563" s="320" t="s">
        <v>289</v>
      </c>
      <c r="B563" s="314">
        <v>906</v>
      </c>
      <c r="C563" s="316" t="s">
        <v>279</v>
      </c>
      <c r="D563" s="316" t="s">
        <v>133</v>
      </c>
      <c r="E563" s="316" t="s">
        <v>1018</v>
      </c>
      <c r="F563" s="316" t="s">
        <v>290</v>
      </c>
      <c r="G563" s="321">
        <f>559.7</f>
        <v>559.70000000000005</v>
      </c>
      <c r="H563" s="321">
        <f t="shared" si="42"/>
        <v>559.70000000000005</v>
      </c>
      <c r="I563" s="211"/>
    </row>
    <row r="564" spans="1:9" ht="63" x14ac:dyDescent="0.25">
      <c r="A564" s="31" t="s">
        <v>306</v>
      </c>
      <c r="B564" s="314">
        <v>906</v>
      </c>
      <c r="C564" s="316" t="s">
        <v>279</v>
      </c>
      <c r="D564" s="316" t="s">
        <v>133</v>
      </c>
      <c r="E564" s="316" t="s">
        <v>1021</v>
      </c>
      <c r="F564" s="316"/>
      <c r="G564" s="321">
        <f>G565</f>
        <v>1629.3</v>
      </c>
      <c r="H564" s="321">
        <f>H565</f>
        <v>1629.3</v>
      </c>
      <c r="I564" s="211"/>
    </row>
    <row r="565" spans="1:9" ht="31.5" x14ac:dyDescent="0.25">
      <c r="A565" s="320" t="s">
        <v>287</v>
      </c>
      <c r="B565" s="314">
        <v>906</v>
      </c>
      <c r="C565" s="316" t="s">
        <v>279</v>
      </c>
      <c r="D565" s="316" t="s">
        <v>133</v>
      </c>
      <c r="E565" s="316" t="s">
        <v>1021</v>
      </c>
      <c r="F565" s="316" t="s">
        <v>288</v>
      </c>
      <c r="G565" s="321">
        <f>G566</f>
        <v>1629.3</v>
      </c>
      <c r="H565" s="321">
        <f>H566</f>
        <v>1629.3</v>
      </c>
      <c r="I565" s="211"/>
    </row>
    <row r="566" spans="1:9" ht="15.75" x14ac:dyDescent="0.25">
      <c r="A566" s="320" t="s">
        <v>289</v>
      </c>
      <c r="B566" s="314">
        <v>906</v>
      </c>
      <c r="C566" s="316" t="s">
        <v>279</v>
      </c>
      <c r="D566" s="316" t="s">
        <v>133</v>
      </c>
      <c r="E566" s="316" t="s">
        <v>1021</v>
      </c>
      <c r="F566" s="316" t="s">
        <v>290</v>
      </c>
      <c r="G566" s="321">
        <f>1629.3</f>
        <v>1629.3</v>
      </c>
      <c r="H566" s="321">
        <f t="shared" si="42"/>
        <v>1629.3</v>
      </c>
      <c r="I566" s="211"/>
    </row>
    <row r="567" spans="1:9" ht="94.5" x14ac:dyDescent="0.25">
      <c r="A567" s="31" t="s">
        <v>436</v>
      </c>
      <c r="B567" s="314">
        <v>906</v>
      </c>
      <c r="C567" s="316" t="s">
        <v>279</v>
      </c>
      <c r="D567" s="316" t="s">
        <v>133</v>
      </c>
      <c r="E567" s="316" t="s">
        <v>1020</v>
      </c>
      <c r="F567" s="316"/>
      <c r="G567" s="321">
        <f>G568</f>
        <v>80735.399999999994</v>
      </c>
      <c r="H567" s="321">
        <f>H568</f>
        <v>80735.399999999994</v>
      </c>
      <c r="I567" s="211"/>
    </row>
    <row r="568" spans="1:9" ht="31.5" x14ac:dyDescent="0.25">
      <c r="A568" s="320" t="s">
        <v>287</v>
      </c>
      <c r="B568" s="314">
        <v>906</v>
      </c>
      <c r="C568" s="316" t="s">
        <v>279</v>
      </c>
      <c r="D568" s="316" t="s">
        <v>133</v>
      </c>
      <c r="E568" s="316" t="s">
        <v>1020</v>
      </c>
      <c r="F568" s="316" t="s">
        <v>288</v>
      </c>
      <c r="G568" s="321">
        <f>G569</f>
        <v>80735.399999999994</v>
      </c>
      <c r="H568" s="321">
        <f>H569</f>
        <v>80735.399999999994</v>
      </c>
      <c r="I568" s="211"/>
    </row>
    <row r="569" spans="1:9" ht="15.75" x14ac:dyDescent="0.25">
      <c r="A569" s="320" t="s">
        <v>289</v>
      </c>
      <c r="B569" s="314">
        <v>906</v>
      </c>
      <c r="C569" s="316" t="s">
        <v>279</v>
      </c>
      <c r="D569" s="316" t="s">
        <v>133</v>
      </c>
      <c r="E569" s="316" t="s">
        <v>1020</v>
      </c>
      <c r="F569" s="316" t="s">
        <v>290</v>
      </c>
      <c r="G569" s="321">
        <f>80735.4</f>
        <v>80735.399999999994</v>
      </c>
      <c r="H569" s="321">
        <f t="shared" si="42"/>
        <v>80735.399999999994</v>
      </c>
      <c r="I569" s="211"/>
    </row>
    <row r="570" spans="1:9" ht="94.5" hidden="1" x14ac:dyDescent="0.25">
      <c r="A570" s="31" t="s">
        <v>308</v>
      </c>
      <c r="B570" s="314">
        <v>906</v>
      </c>
      <c r="C570" s="316" t="s">
        <v>279</v>
      </c>
      <c r="D570" s="316" t="s">
        <v>133</v>
      </c>
      <c r="E570" s="316" t="s">
        <v>1022</v>
      </c>
      <c r="F570" s="316"/>
      <c r="G570" s="321">
        <f>G571</f>
        <v>0</v>
      </c>
      <c r="H570" s="321">
        <f>H571</f>
        <v>0</v>
      </c>
      <c r="I570" s="211"/>
    </row>
    <row r="571" spans="1:9" ht="31.5" hidden="1" x14ac:dyDescent="0.25">
      <c r="A571" s="320" t="s">
        <v>287</v>
      </c>
      <c r="B571" s="314">
        <v>906</v>
      </c>
      <c r="C571" s="316" t="s">
        <v>279</v>
      </c>
      <c r="D571" s="316" t="s">
        <v>133</v>
      </c>
      <c r="E571" s="316" t="s">
        <v>1022</v>
      </c>
      <c r="F571" s="316" t="s">
        <v>288</v>
      </c>
      <c r="G571" s="321">
        <f>G572</f>
        <v>0</v>
      </c>
      <c r="H571" s="321">
        <f>H572</f>
        <v>0</v>
      </c>
      <c r="I571" s="211"/>
    </row>
    <row r="572" spans="1:9" ht="15.75" hidden="1" x14ac:dyDescent="0.25">
      <c r="A572" s="320" t="s">
        <v>289</v>
      </c>
      <c r="B572" s="314">
        <v>906</v>
      </c>
      <c r="C572" s="316" t="s">
        <v>279</v>
      </c>
      <c r="D572" s="316" t="s">
        <v>133</v>
      </c>
      <c r="E572" s="316" t="s">
        <v>1022</v>
      </c>
      <c r="F572" s="316" t="s">
        <v>290</v>
      </c>
      <c r="G572" s="321"/>
      <c r="H572" s="321"/>
      <c r="I572" s="211"/>
    </row>
    <row r="573" spans="1:9" ht="31.5" x14ac:dyDescent="0.25">
      <c r="A573" s="318" t="s">
        <v>426</v>
      </c>
      <c r="B573" s="315">
        <v>906</v>
      </c>
      <c r="C573" s="319" t="s">
        <v>279</v>
      </c>
      <c r="D573" s="319" t="s">
        <v>133</v>
      </c>
      <c r="E573" s="319" t="s">
        <v>427</v>
      </c>
      <c r="F573" s="319"/>
      <c r="G573" s="317">
        <f>G574+G584+G594+G606</f>
        <v>10997.7</v>
      </c>
      <c r="H573" s="317">
        <f>H574+H584+H594+H606</f>
        <v>10997.7</v>
      </c>
      <c r="I573" s="211"/>
    </row>
    <row r="574" spans="1:9" ht="31.5" x14ac:dyDescent="0.25">
      <c r="A574" s="318" t="s">
        <v>1005</v>
      </c>
      <c r="B574" s="315">
        <v>906</v>
      </c>
      <c r="C574" s="319" t="s">
        <v>279</v>
      </c>
      <c r="D574" s="319" t="s">
        <v>133</v>
      </c>
      <c r="E574" s="319" t="s">
        <v>1006</v>
      </c>
      <c r="F574" s="319"/>
      <c r="G574" s="317">
        <f>G581</f>
        <v>4430</v>
      </c>
      <c r="H574" s="317">
        <f>H581</f>
        <v>4430</v>
      </c>
      <c r="I574" s="211"/>
    </row>
    <row r="575" spans="1:9" ht="31.5" hidden="1" x14ac:dyDescent="0.25">
      <c r="A575" s="320" t="s">
        <v>293</v>
      </c>
      <c r="B575" s="314">
        <v>906</v>
      </c>
      <c r="C575" s="316" t="s">
        <v>279</v>
      </c>
      <c r="D575" s="316" t="s">
        <v>133</v>
      </c>
      <c r="E575" s="316" t="s">
        <v>1007</v>
      </c>
      <c r="F575" s="316"/>
      <c r="G575" s="321">
        <f>'Пр.4 ведом.20'!G614</f>
        <v>474</v>
      </c>
      <c r="H575" s="321">
        <f t="shared" si="42"/>
        <v>474</v>
      </c>
      <c r="I575" s="211"/>
    </row>
    <row r="576" spans="1:9" ht="31.5" hidden="1" x14ac:dyDescent="0.25">
      <c r="A576" s="320" t="s">
        <v>287</v>
      </c>
      <c r="B576" s="314">
        <v>906</v>
      </c>
      <c r="C576" s="316" t="s">
        <v>279</v>
      </c>
      <c r="D576" s="316" t="s">
        <v>133</v>
      </c>
      <c r="E576" s="316" t="s">
        <v>1007</v>
      </c>
      <c r="F576" s="316" t="s">
        <v>288</v>
      </c>
      <c r="G576" s="321">
        <f>'Пр.4 ведом.20'!G615</f>
        <v>474</v>
      </c>
      <c r="H576" s="321">
        <f t="shared" ref="H576:H652" si="48">G576</f>
        <v>474</v>
      </c>
      <c r="I576" s="211"/>
    </row>
    <row r="577" spans="1:9" ht="15.75" hidden="1" x14ac:dyDescent="0.25">
      <c r="A577" s="320" t="s">
        <v>289</v>
      </c>
      <c r="B577" s="314">
        <v>906</v>
      </c>
      <c r="C577" s="316" t="s">
        <v>279</v>
      </c>
      <c r="D577" s="316" t="s">
        <v>133</v>
      </c>
      <c r="E577" s="316" t="s">
        <v>1007</v>
      </c>
      <c r="F577" s="316" t="s">
        <v>290</v>
      </c>
      <c r="G577" s="321">
        <f>'Пр.4 ведом.20'!G616</f>
        <v>474</v>
      </c>
      <c r="H577" s="321">
        <f t="shared" si="48"/>
        <v>474</v>
      </c>
      <c r="I577" s="211"/>
    </row>
    <row r="578" spans="1:9" ht="31.5" hidden="1" x14ac:dyDescent="0.25">
      <c r="A578" s="320" t="s">
        <v>295</v>
      </c>
      <c r="B578" s="314">
        <v>906</v>
      </c>
      <c r="C578" s="316" t="s">
        <v>279</v>
      </c>
      <c r="D578" s="316" t="s">
        <v>133</v>
      </c>
      <c r="E578" s="316" t="s">
        <v>1008</v>
      </c>
      <c r="F578" s="316"/>
      <c r="G578" s="321">
        <f>'Пр.4 ведом.20'!G617</f>
        <v>67.400000000000006</v>
      </c>
      <c r="H578" s="321">
        <f t="shared" si="48"/>
        <v>67.400000000000006</v>
      </c>
      <c r="I578" s="211"/>
    </row>
    <row r="579" spans="1:9" ht="31.5" hidden="1" x14ac:dyDescent="0.25">
      <c r="A579" s="320" t="s">
        <v>287</v>
      </c>
      <c r="B579" s="314">
        <v>906</v>
      </c>
      <c r="C579" s="316" t="s">
        <v>279</v>
      </c>
      <c r="D579" s="316" t="s">
        <v>133</v>
      </c>
      <c r="E579" s="316" t="s">
        <v>1008</v>
      </c>
      <c r="F579" s="316" t="s">
        <v>288</v>
      </c>
      <c r="G579" s="321">
        <f>'Пр.4 ведом.20'!G618</f>
        <v>67.400000000000006</v>
      </c>
      <c r="H579" s="321">
        <f t="shared" si="48"/>
        <v>67.400000000000006</v>
      </c>
      <c r="I579" s="211"/>
    </row>
    <row r="580" spans="1:9" ht="15.75" hidden="1" x14ac:dyDescent="0.25">
      <c r="A580" s="320" t="s">
        <v>289</v>
      </c>
      <c r="B580" s="314">
        <v>906</v>
      </c>
      <c r="C580" s="316" t="s">
        <v>279</v>
      </c>
      <c r="D580" s="316" t="s">
        <v>133</v>
      </c>
      <c r="E580" s="316" t="s">
        <v>1008</v>
      </c>
      <c r="F580" s="316" t="s">
        <v>290</v>
      </c>
      <c r="G580" s="321">
        <f>'Пр.4 ведом.20'!G619</f>
        <v>67.400000000000006</v>
      </c>
      <c r="H580" s="321">
        <f t="shared" si="48"/>
        <v>67.400000000000006</v>
      </c>
      <c r="I580" s="211"/>
    </row>
    <row r="581" spans="1:9" ht="31.5" x14ac:dyDescent="0.25">
      <c r="A581" s="323" t="s">
        <v>430</v>
      </c>
      <c r="B581" s="314">
        <v>906</v>
      </c>
      <c r="C581" s="316" t="s">
        <v>279</v>
      </c>
      <c r="D581" s="316" t="s">
        <v>133</v>
      </c>
      <c r="E581" s="316" t="s">
        <v>1009</v>
      </c>
      <c r="F581" s="316"/>
      <c r="G581" s="321">
        <f>G582</f>
        <v>4430</v>
      </c>
      <c r="H581" s="321">
        <f>H582</f>
        <v>4430</v>
      </c>
      <c r="I581" s="211"/>
    </row>
    <row r="582" spans="1:9" ht="31.5" x14ac:dyDescent="0.25">
      <c r="A582" s="320" t="s">
        <v>287</v>
      </c>
      <c r="B582" s="314">
        <v>906</v>
      </c>
      <c r="C582" s="316" t="s">
        <v>279</v>
      </c>
      <c r="D582" s="316" t="s">
        <v>133</v>
      </c>
      <c r="E582" s="316" t="s">
        <v>1009</v>
      </c>
      <c r="F582" s="316" t="s">
        <v>288</v>
      </c>
      <c r="G582" s="321">
        <f>G583</f>
        <v>4430</v>
      </c>
      <c r="H582" s="321">
        <f>H583</f>
        <v>4430</v>
      </c>
      <c r="I582" s="211"/>
    </row>
    <row r="583" spans="1:9" ht="15.75" x14ac:dyDescent="0.25">
      <c r="A583" s="320" t="s">
        <v>289</v>
      </c>
      <c r="B583" s="314">
        <v>906</v>
      </c>
      <c r="C583" s="316" t="s">
        <v>279</v>
      </c>
      <c r="D583" s="316" t="s">
        <v>133</v>
      </c>
      <c r="E583" s="316" t="s">
        <v>1009</v>
      </c>
      <c r="F583" s="316" t="s">
        <v>290</v>
      </c>
      <c r="G583" s="321">
        <f>4430</f>
        <v>4430</v>
      </c>
      <c r="H583" s="321">
        <f t="shared" si="48"/>
        <v>4430</v>
      </c>
      <c r="I583" s="211"/>
    </row>
    <row r="584" spans="1:9" ht="31.5" x14ac:dyDescent="0.25">
      <c r="A584" s="224" t="s">
        <v>1075</v>
      </c>
      <c r="B584" s="315">
        <v>906</v>
      </c>
      <c r="C584" s="319" t="s">
        <v>279</v>
      </c>
      <c r="D584" s="319" t="s">
        <v>133</v>
      </c>
      <c r="E584" s="319" t="s">
        <v>1010</v>
      </c>
      <c r="F584" s="319"/>
      <c r="G584" s="44">
        <f>G588+G591</f>
        <v>4610</v>
      </c>
      <c r="H584" s="44">
        <f>H588+H591</f>
        <v>4610</v>
      </c>
      <c r="I584" s="211"/>
    </row>
    <row r="585" spans="1:9" ht="31.5" hidden="1" x14ac:dyDescent="0.25">
      <c r="A585" s="320" t="s">
        <v>299</v>
      </c>
      <c r="B585" s="314">
        <v>906</v>
      </c>
      <c r="C585" s="316" t="s">
        <v>279</v>
      </c>
      <c r="D585" s="316" t="s">
        <v>133</v>
      </c>
      <c r="E585" s="316" t="s">
        <v>1011</v>
      </c>
      <c r="F585" s="316"/>
      <c r="G585" s="321">
        <f>'Пр.4 ведом.20'!G624</f>
        <v>56.78</v>
      </c>
      <c r="H585" s="321">
        <f t="shared" si="48"/>
        <v>56.78</v>
      </c>
      <c r="I585" s="211"/>
    </row>
    <row r="586" spans="1:9" ht="31.5" hidden="1" x14ac:dyDescent="0.25">
      <c r="A586" s="320" t="s">
        <v>287</v>
      </c>
      <c r="B586" s="314">
        <v>906</v>
      </c>
      <c r="C586" s="316" t="s">
        <v>279</v>
      </c>
      <c r="D586" s="316" t="s">
        <v>133</v>
      </c>
      <c r="E586" s="316" t="s">
        <v>1011</v>
      </c>
      <c r="F586" s="316" t="s">
        <v>288</v>
      </c>
      <c r="G586" s="321">
        <f>'Пр.4 ведом.20'!G625</f>
        <v>56.78</v>
      </c>
      <c r="H586" s="321">
        <f t="shared" si="48"/>
        <v>56.78</v>
      </c>
      <c r="I586" s="211"/>
    </row>
    <row r="587" spans="1:9" ht="15.75" hidden="1" x14ac:dyDescent="0.25">
      <c r="A587" s="320" t="s">
        <v>289</v>
      </c>
      <c r="B587" s="314">
        <v>906</v>
      </c>
      <c r="C587" s="316" t="s">
        <v>279</v>
      </c>
      <c r="D587" s="316" t="s">
        <v>133</v>
      </c>
      <c r="E587" s="316" t="s">
        <v>1011</v>
      </c>
      <c r="F587" s="316" t="s">
        <v>290</v>
      </c>
      <c r="G587" s="321">
        <f>'Пр.4 ведом.20'!G626</f>
        <v>56.78</v>
      </c>
      <c r="H587" s="321">
        <f t="shared" si="48"/>
        <v>56.78</v>
      </c>
      <c r="I587" s="211"/>
    </row>
    <row r="588" spans="1:9" ht="31.5" x14ac:dyDescent="0.25">
      <c r="A588" s="60" t="s">
        <v>785</v>
      </c>
      <c r="B588" s="314">
        <v>906</v>
      </c>
      <c r="C588" s="316" t="s">
        <v>279</v>
      </c>
      <c r="D588" s="316" t="s">
        <v>133</v>
      </c>
      <c r="E588" s="316" t="s">
        <v>1012</v>
      </c>
      <c r="F588" s="316"/>
      <c r="G588" s="321">
        <f>G589</f>
        <v>2850</v>
      </c>
      <c r="H588" s="321">
        <f>H589</f>
        <v>2850</v>
      </c>
      <c r="I588" s="211"/>
    </row>
    <row r="589" spans="1:9" ht="31.5" x14ac:dyDescent="0.25">
      <c r="A589" s="323" t="s">
        <v>287</v>
      </c>
      <c r="B589" s="314">
        <v>906</v>
      </c>
      <c r="C589" s="316" t="s">
        <v>279</v>
      </c>
      <c r="D589" s="316" t="s">
        <v>133</v>
      </c>
      <c r="E589" s="316" t="s">
        <v>1012</v>
      </c>
      <c r="F589" s="316" t="s">
        <v>288</v>
      </c>
      <c r="G589" s="321">
        <f>G590</f>
        <v>2850</v>
      </c>
      <c r="H589" s="321">
        <f>H590</f>
        <v>2850</v>
      </c>
      <c r="I589" s="211"/>
    </row>
    <row r="590" spans="1:9" ht="15.75" x14ac:dyDescent="0.25">
      <c r="A590" s="193" t="s">
        <v>289</v>
      </c>
      <c r="B590" s="314">
        <v>906</v>
      </c>
      <c r="C590" s="316" t="s">
        <v>279</v>
      </c>
      <c r="D590" s="316" t="s">
        <v>133</v>
      </c>
      <c r="E590" s="316" t="s">
        <v>1012</v>
      </c>
      <c r="F590" s="316" t="s">
        <v>290</v>
      </c>
      <c r="G590" s="321">
        <f>2850</f>
        <v>2850</v>
      </c>
      <c r="H590" s="321">
        <f t="shared" si="48"/>
        <v>2850</v>
      </c>
      <c r="I590" s="211"/>
    </row>
    <row r="591" spans="1:9" ht="47.25" x14ac:dyDescent="0.25">
      <c r="A591" s="60" t="s">
        <v>786</v>
      </c>
      <c r="B591" s="314">
        <v>906</v>
      </c>
      <c r="C591" s="316" t="s">
        <v>279</v>
      </c>
      <c r="D591" s="316" t="s">
        <v>133</v>
      </c>
      <c r="E591" s="316" t="s">
        <v>1013</v>
      </c>
      <c r="F591" s="316"/>
      <c r="G591" s="321">
        <f>G592</f>
        <v>1760</v>
      </c>
      <c r="H591" s="321">
        <f>H592</f>
        <v>1760</v>
      </c>
      <c r="I591" s="211"/>
    </row>
    <row r="592" spans="1:9" ht="31.5" x14ac:dyDescent="0.25">
      <c r="A592" s="323" t="s">
        <v>287</v>
      </c>
      <c r="B592" s="314">
        <v>906</v>
      </c>
      <c r="C592" s="316" t="s">
        <v>279</v>
      </c>
      <c r="D592" s="316" t="s">
        <v>133</v>
      </c>
      <c r="E592" s="316" t="s">
        <v>1013</v>
      </c>
      <c r="F592" s="316" t="s">
        <v>288</v>
      </c>
      <c r="G592" s="321">
        <f>G593</f>
        <v>1760</v>
      </c>
      <c r="H592" s="321">
        <f>H593</f>
        <v>1760</v>
      </c>
      <c r="I592" s="211"/>
    </row>
    <row r="593" spans="1:9" ht="15.75" x14ac:dyDescent="0.25">
      <c r="A593" s="193" t="s">
        <v>289</v>
      </c>
      <c r="B593" s="314">
        <v>906</v>
      </c>
      <c r="C593" s="316" t="s">
        <v>279</v>
      </c>
      <c r="D593" s="316" t="s">
        <v>133</v>
      </c>
      <c r="E593" s="316" t="s">
        <v>1013</v>
      </c>
      <c r="F593" s="316" t="s">
        <v>290</v>
      </c>
      <c r="G593" s="321">
        <f>1760</f>
        <v>1760</v>
      </c>
      <c r="H593" s="321">
        <f t="shared" si="48"/>
        <v>1760</v>
      </c>
      <c r="I593" s="211"/>
    </row>
    <row r="594" spans="1:9" ht="63" x14ac:dyDescent="0.25">
      <c r="A594" s="318" t="s">
        <v>1014</v>
      </c>
      <c r="B594" s="315">
        <v>906</v>
      </c>
      <c r="C594" s="319" t="s">
        <v>279</v>
      </c>
      <c r="D594" s="319" t="s">
        <v>133</v>
      </c>
      <c r="E594" s="319" t="s">
        <v>1015</v>
      </c>
      <c r="F594" s="319"/>
      <c r="G594" s="317">
        <f>G595+G598</f>
        <v>291.10000000000002</v>
      </c>
      <c r="H594" s="317">
        <f>H595+H598</f>
        <v>291.10000000000002</v>
      </c>
      <c r="I594" s="211"/>
    </row>
    <row r="595" spans="1:9" ht="120.2" customHeight="1" x14ac:dyDescent="0.25">
      <c r="A595" s="320" t="s">
        <v>1456</v>
      </c>
      <c r="B595" s="314">
        <v>906</v>
      </c>
      <c r="C595" s="316" t="s">
        <v>279</v>
      </c>
      <c r="D595" s="316" t="s">
        <v>133</v>
      </c>
      <c r="E595" s="316" t="s">
        <v>1016</v>
      </c>
      <c r="F595" s="316"/>
      <c r="G595" s="321">
        <f>G596</f>
        <v>124.4</v>
      </c>
      <c r="H595" s="321">
        <f>H596</f>
        <v>124.4</v>
      </c>
      <c r="I595" s="211"/>
    </row>
    <row r="596" spans="1:9" ht="31.5" x14ac:dyDescent="0.25">
      <c r="A596" s="323" t="s">
        <v>287</v>
      </c>
      <c r="B596" s="314">
        <v>906</v>
      </c>
      <c r="C596" s="316" t="s">
        <v>279</v>
      </c>
      <c r="D596" s="316" t="s">
        <v>133</v>
      </c>
      <c r="E596" s="316" t="s">
        <v>1016</v>
      </c>
      <c r="F596" s="316" t="s">
        <v>288</v>
      </c>
      <c r="G596" s="321">
        <f>G597</f>
        <v>124.4</v>
      </c>
      <c r="H596" s="321">
        <f>H597</f>
        <v>124.4</v>
      </c>
      <c r="I596" s="211"/>
    </row>
    <row r="597" spans="1:9" ht="15.75" x14ac:dyDescent="0.25">
      <c r="A597" s="193" t="s">
        <v>289</v>
      </c>
      <c r="B597" s="314">
        <v>906</v>
      </c>
      <c r="C597" s="316" t="s">
        <v>279</v>
      </c>
      <c r="D597" s="316" t="s">
        <v>133</v>
      </c>
      <c r="E597" s="316" t="s">
        <v>1016</v>
      </c>
      <c r="F597" s="316" t="s">
        <v>290</v>
      </c>
      <c r="G597" s="321">
        <f>124.4</f>
        <v>124.4</v>
      </c>
      <c r="H597" s="321">
        <f t="shared" si="48"/>
        <v>124.4</v>
      </c>
      <c r="I597" s="211"/>
    </row>
    <row r="598" spans="1:9" ht="126" x14ac:dyDescent="0.25">
      <c r="A598" s="320" t="s">
        <v>438</v>
      </c>
      <c r="B598" s="314">
        <v>906</v>
      </c>
      <c r="C598" s="316" t="s">
        <v>279</v>
      </c>
      <c r="D598" s="316" t="s">
        <v>133</v>
      </c>
      <c r="E598" s="316" t="s">
        <v>1017</v>
      </c>
      <c r="F598" s="316"/>
      <c r="G598" s="321">
        <f>G599</f>
        <v>166.7</v>
      </c>
      <c r="H598" s="321">
        <f>H599</f>
        <v>166.7</v>
      </c>
      <c r="I598" s="211"/>
    </row>
    <row r="599" spans="1:9" ht="31.5" x14ac:dyDescent="0.25">
      <c r="A599" s="320" t="s">
        <v>287</v>
      </c>
      <c r="B599" s="314">
        <v>906</v>
      </c>
      <c r="C599" s="316" t="s">
        <v>279</v>
      </c>
      <c r="D599" s="316" t="s">
        <v>133</v>
      </c>
      <c r="E599" s="316" t="s">
        <v>1017</v>
      </c>
      <c r="F599" s="316" t="s">
        <v>288</v>
      </c>
      <c r="G599" s="321">
        <f>G600</f>
        <v>166.7</v>
      </c>
      <c r="H599" s="321">
        <f>H600</f>
        <v>166.7</v>
      </c>
      <c r="I599" s="211"/>
    </row>
    <row r="600" spans="1:9" ht="15.75" x14ac:dyDescent="0.25">
      <c r="A600" s="320" t="s">
        <v>289</v>
      </c>
      <c r="B600" s="314">
        <v>906</v>
      </c>
      <c r="C600" s="316" t="s">
        <v>279</v>
      </c>
      <c r="D600" s="316" t="s">
        <v>133</v>
      </c>
      <c r="E600" s="316" t="s">
        <v>1017</v>
      </c>
      <c r="F600" s="316" t="s">
        <v>290</v>
      </c>
      <c r="G600" s="321">
        <f>166.7</f>
        <v>166.7</v>
      </c>
      <c r="H600" s="321">
        <f t="shared" si="48"/>
        <v>166.7</v>
      </c>
      <c r="I600" s="211"/>
    </row>
    <row r="601" spans="1:9" ht="63" hidden="1" x14ac:dyDescent="0.25">
      <c r="A601" s="34" t="s">
        <v>803</v>
      </c>
      <c r="B601" s="315">
        <v>906</v>
      </c>
      <c r="C601" s="319" t="s">
        <v>279</v>
      </c>
      <c r="D601" s="319" t="s">
        <v>133</v>
      </c>
      <c r="E601" s="319" t="s">
        <v>339</v>
      </c>
      <c r="F601" s="319"/>
      <c r="G601" s="317">
        <f>G602</f>
        <v>0</v>
      </c>
      <c r="H601" s="317">
        <f>H602</f>
        <v>0</v>
      </c>
      <c r="I601" s="211"/>
    </row>
    <row r="602" spans="1:9" ht="63" hidden="1" x14ac:dyDescent="0.25">
      <c r="A602" s="34" t="s">
        <v>1160</v>
      </c>
      <c r="B602" s="315">
        <v>906</v>
      </c>
      <c r="C602" s="319" t="s">
        <v>279</v>
      </c>
      <c r="D602" s="319" t="s">
        <v>133</v>
      </c>
      <c r="E602" s="319" t="s">
        <v>1023</v>
      </c>
      <c r="F602" s="319"/>
      <c r="G602" s="317">
        <f>G603</f>
        <v>0</v>
      </c>
      <c r="H602" s="317">
        <f>H603</f>
        <v>0</v>
      </c>
      <c r="I602" s="211"/>
    </row>
    <row r="603" spans="1:9" ht="47.25" hidden="1" x14ac:dyDescent="0.25">
      <c r="A603" s="31" t="s">
        <v>1272</v>
      </c>
      <c r="B603" s="314">
        <v>906</v>
      </c>
      <c r="C603" s="316" t="s">
        <v>279</v>
      </c>
      <c r="D603" s="316" t="s">
        <v>133</v>
      </c>
      <c r="E603" s="316" t="s">
        <v>1024</v>
      </c>
      <c r="F603" s="316"/>
      <c r="G603" s="321">
        <f>'Пр.4 ведом.20'!G649</f>
        <v>0</v>
      </c>
      <c r="H603" s="321">
        <f t="shared" si="48"/>
        <v>0</v>
      </c>
      <c r="I603" s="211"/>
    </row>
    <row r="604" spans="1:9" ht="31.5" hidden="1" x14ac:dyDescent="0.25">
      <c r="A604" s="31" t="s">
        <v>287</v>
      </c>
      <c r="B604" s="314">
        <v>906</v>
      </c>
      <c r="C604" s="316" t="s">
        <v>279</v>
      </c>
      <c r="D604" s="316" t="s">
        <v>133</v>
      </c>
      <c r="E604" s="316" t="s">
        <v>1024</v>
      </c>
      <c r="F604" s="316" t="s">
        <v>288</v>
      </c>
      <c r="G604" s="321">
        <f>'Пр.4 ведом.20'!G650</f>
        <v>0</v>
      </c>
      <c r="H604" s="321">
        <f t="shared" si="48"/>
        <v>0</v>
      </c>
      <c r="I604" s="211"/>
    </row>
    <row r="605" spans="1:9" ht="15.75" hidden="1" x14ac:dyDescent="0.25">
      <c r="A605" s="31" t="s">
        <v>289</v>
      </c>
      <c r="B605" s="314">
        <v>906</v>
      </c>
      <c r="C605" s="316" t="s">
        <v>279</v>
      </c>
      <c r="D605" s="316" t="s">
        <v>133</v>
      </c>
      <c r="E605" s="316" t="s">
        <v>1024</v>
      </c>
      <c r="F605" s="316" t="s">
        <v>290</v>
      </c>
      <c r="G605" s="321">
        <f>'Пр.4 ведом.20'!G651</f>
        <v>0</v>
      </c>
      <c r="H605" s="321">
        <f t="shared" si="48"/>
        <v>0</v>
      </c>
      <c r="I605" s="211"/>
    </row>
    <row r="606" spans="1:9" s="210" customFormat="1" ht="94.5" x14ac:dyDescent="0.25">
      <c r="A606" s="318" t="s">
        <v>1393</v>
      </c>
      <c r="B606" s="315">
        <v>906</v>
      </c>
      <c r="C606" s="319" t="s">
        <v>279</v>
      </c>
      <c r="D606" s="319" t="s">
        <v>133</v>
      </c>
      <c r="E606" s="319" t="s">
        <v>1391</v>
      </c>
      <c r="F606" s="319"/>
      <c r="G606" s="317">
        <f>G607+G610</f>
        <v>1666.6</v>
      </c>
      <c r="H606" s="317">
        <f>H607+H610</f>
        <v>1666.6</v>
      </c>
      <c r="I606" s="211"/>
    </row>
    <row r="607" spans="1:9" s="210" customFormat="1" ht="94.5" x14ac:dyDescent="0.25">
      <c r="A607" s="151" t="s">
        <v>1457</v>
      </c>
      <c r="B607" s="314">
        <v>906</v>
      </c>
      <c r="C607" s="316" t="s">
        <v>279</v>
      </c>
      <c r="D607" s="316" t="s">
        <v>133</v>
      </c>
      <c r="E607" s="316" t="s">
        <v>1395</v>
      </c>
      <c r="F607" s="316"/>
      <c r="G607" s="321">
        <f>G608</f>
        <v>0</v>
      </c>
      <c r="H607" s="321">
        <f>H608</f>
        <v>0</v>
      </c>
      <c r="I607" s="211"/>
    </row>
    <row r="608" spans="1:9" s="210" customFormat="1" ht="31.5" x14ac:dyDescent="0.25">
      <c r="A608" s="320" t="s">
        <v>287</v>
      </c>
      <c r="B608" s="314">
        <v>906</v>
      </c>
      <c r="C608" s="316" t="s">
        <v>279</v>
      </c>
      <c r="D608" s="316" t="s">
        <v>133</v>
      </c>
      <c r="E608" s="316" t="s">
        <v>1395</v>
      </c>
      <c r="F608" s="316" t="s">
        <v>288</v>
      </c>
      <c r="G608" s="321">
        <f>G609</f>
        <v>0</v>
      </c>
      <c r="H608" s="321">
        <f>H609</f>
        <v>0</v>
      </c>
      <c r="I608" s="211"/>
    </row>
    <row r="609" spans="1:9" s="210" customFormat="1" ht="15.75" x14ac:dyDescent="0.25">
      <c r="A609" s="320" t="s">
        <v>289</v>
      </c>
      <c r="B609" s="314">
        <v>906</v>
      </c>
      <c r="C609" s="316" t="s">
        <v>279</v>
      </c>
      <c r="D609" s="316" t="s">
        <v>133</v>
      </c>
      <c r="E609" s="316" t="s">
        <v>1395</v>
      </c>
      <c r="F609" s="316" t="s">
        <v>290</v>
      </c>
      <c r="G609" s="321">
        <v>0</v>
      </c>
      <c r="H609" s="321">
        <v>0</v>
      </c>
      <c r="I609" s="211"/>
    </row>
    <row r="610" spans="1:9" s="210" customFormat="1" ht="81.75" customHeight="1" x14ac:dyDescent="0.25">
      <c r="A610" s="151" t="s">
        <v>1446</v>
      </c>
      <c r="B610" s="314">
        <v>906</v>
      </c>
      <c r="C610" s="316" t="s">
        <v>279</v>
      </c>
      <c r="D610" s="316" t="s">
        <v>133</v>
      </c>
      <c r="E610" s="316" t="s">
        <v>1394</v>
      </c>
      <c r="F610" s="316"/>
      <c r="G610" s="321">
        <f>G611</f>
        <v>1666.6</v>
      </c>
      <c r="H610" s="321">
        <f>H611</f>
        <v>1666.6</v>
      </c>
      <c r="I610" s="211"/>
    </row>
    <row r="611" spans="1:9" s="210" customFormat="1" ht="31.5" x14ac:dyDescent="0.25">
      <c r="A611" s="320" t="s">
        <v>287</v>
      </c>
      <c r="B611" s="314">
        <v>906</v>
      </c>
      <c r="C611" s="316" t="s">
        <v>279</v>
      </c>
      <c r="D611" s="316" t="s">
        <v>133</v>
      </c>
      <c r="E611" s="316" t="s">
        <v>1394</v>
      </c>
      <c r="F611" s="316" t="s">
        <v>288</v>
      </c>
      <c r="G611" s="321">
        <f>G612</f>
        <v>1666.6</v>
      </c>
      <c r="H611" s="321">
        <f>H612</f>
        <v>1666.6</v>
      </c>
      <c r="I611" s="211"/>
    </row>
    <row r="612" spans="1:9" s="210" customFormat="1" ht="15.75" x14ac:dyDescent="0.25">
      <c r="A612" s="320" t="s">
        <v>289</v>
      </c>
      <c r="B612" s="314">
        <v>906</v>
      </c>
      <c r="C612" s="316" t="s">
        <v>279</v>
      </c>
      <c r="D612" s="316" t="s">
        <v>133</v>
      </c>
      <c r="E612" s="316" t="s">
        <v>1394</v>
      </c>
      <c r="F612" s="316" t="s">
        <v>290</v>
      </c>
      <c r="G612" s="321">
        <f>1666.6</f>
        <v>1666.6</v>
      </c>
      <c r="H612" s="321">
        <f>G612</f>
        <v>1666.6</v>
      </c>
      <c r="I612" s="211"/>
    </row>
    <row r="613" spans="1:9" ht="63" x14ac:dyDescent="0.25">
      <c r="A613" s="41" t="s">
        <v>728</v>
      </c>
      <c r="B613" s="315">
        <v>906</v>
      </c>
      <c r="C613" s="319" t="s">
        <v>279</v>
      </c>
      <c r="D613" s="319" t="s">
        <v>133</v>
      </c>
      <c r="E613" s="319" t="s">
        <v>726</v>
      </c>
      <c r="F613" s="228"/>
      <c r="G613" s="317">
        <f>G615</f>
        <v>464.3</v>
      </c>
      <c r="H613" s="317">
        <f>H615</f>
        <v>464.3</v>
      </c>
      <c r="I613" s="211"/>
    </row>
    <row r="614" spans="1:9" ht="47.25" x14ac:dyDescent="0.25">
      <c r="A614" s="41" t="s">
        <v>947</v>
      </c>
      <c r="B614" s="315">
        <v>906</v>
      </c>
      <c r="C614" s="319" t="s">
        <v>279</v>
      </c>
      <c r="D614" s="319" t="s">
        <v>133</v>
      </c>
      <c r="E614" s="319" t="s">
        <v>945</v>
      </c>
      <c r="F614" s="228"/>
      <c r="G614" s="317">
        <f t="shared" ref="G614:H616" si="49">G615</f>
        <v>464.3</v>
      </c>
      <c r="H614" s="317">
        <f t="shared" si="49"/>
        <v>464.3</v>
      </c>
      <c r="I614" s="211"/>
    </row>
    <row r="615" spans="1:9" ht="47.25" x14ac:dyDescent="0.25">
      <c r="A615" s="99" t="s">
        <v>801</v>
      </c>
      <c r="B615" s="314">
        <v>906</v>
      </c>
      <c r="C615" s="316" t="s">
        <v>279</v>
      </c>
      <c r="D615" s="316" t="s">
        <v>133</v>
      </c>
      <c r="E615" s="316" t="s">
        <v>1025</v>
      </c>
      <c r="F615" s="32"/>
      <c r="G615" s="321">
        <f t="shared" si="49"/>
        <v>464.3</v>
      </c>
      <c r="H615" s="321">
        <f t="shared" si="49"/>
        <v>464.3</v>
      </c>
      <c r="I615" s="211"/>
    </row>
    <row r="616" spans="1:9" ht="31.5" x14ac:dyDescent="0.25">
      <c r="A616" s="323" t="s">
        <v>287</v>
      </c>
      <c r="B616" s="314">
        <v>906</v>
      </c>
      <c r="C616" s="316" t="s">
        <v>279</v>
      </c>
      <c r="D616" s="316" t="s">
        <v>133</v>
      </c>
      <c r="E616" s="316" t="s">
        <v>1025</v>
      </c>
      <c r="F616" s="32" t="s">
        <v>288</v>
      </c>
      <c r="G616" s="321">
        <f t="shared" si="49"/>
        <v>464.3</v>
      </c>
      <c r="H616" s="321">
        <f t="shared" si="49"/>
        <v>464.3</v>
      </c>
      <c r="I616" s="211"/>
    </row>
    <row r="617" spans="1:9" ht="15.75" x14ac:dyDescent="0.25">
      <c r="A617" s="193" t="s">
        <v>289</v>
      </c>
      <c r="B617" s="314">
        <v>906</v>
      </c>
      <c r="C617" s="316" t="s">
        <v>279</v>
      </c>
      <c r="D617" s="316" t="s">
        <v>133</v>
      </c>
      <c r="E617" s="316" t="s">
        <v>1025</v>
      </c>
      <c r="F617" s="32" t="s">
        <v>290</v>
      </c>
      <c r="G617" s="321">
        <f>464.3</f>
        <v>464.3</v>
      </c>
      <c r="H617" s="321">
        <f t="shared" si="48"/>
        <v>464.3</v>
      </c>
      <c r="I617" s="211"/>
    </row>
    <row r="618" spans="1:9" ht="15.75" x14ac:dyDescent="0.25">
      <c r="A618" s="318" t="s">
        <v>440</v>
      </c>
      <c r="B618" s="315">
        <v>906</v>
      </c>
      <c r="C618" s="319" t="s">
        <v>279</v>
      </c>
      <c r="D618" s="319" t="s">
        <v>228</v>
      </c>
      <c r="E618" s="319"/>
      <c r="F618" s="319"/>
      <c r="G618" s="317">
        <f>G619+G692+G697</f>
        <v>193443.7</v>
      </c>
      <c r="H618" s="317">
        <f>H619+H692+H697</f>
        <v>193452.2</v>
      </c>
      <c r="I618" s="211"/>
    </row>
    <row r="619" spans="1:9" ht="47.25" x14ac:dyDescent="0.25">
      <c r="A619" s="318" t="s">
        <v>1423</v>
      </c>
      <c r="B619" s="315">
        <v>906</v>
      </c>
      <c r="C619" s="319" t="s">
        <v>279</v>
      </c>
      <c r="D619" s="319" t="s">
        <v>228</v>
      </c>
      <c r="E619" s="319" t="s">
        <v>421</v>
      </c>
      <c r="F619" s="319"/>
      <c r="G619" s="317">
        <f>G620+G653</f>
        <v>192720.40000000002</v>
      </c>
      <c r="H619" s="317">
        <f>H620+H653</f>
        <v>192728.90000000002</v>
      </c>
      <c r="I619" s="211"/>
    </row>
    <row r="620" spans="1:9" ht="31.5" x14ac:dyDescent="0.25">
      <c r="A620" s="318" t="s">
        <v>422</v>
      </c>
      <c r="B620" s="315">
        <v>906</v>
      </c>
      <c r="C620" s="319" t="s">
        <v>279</v>
      </c>
      <c r="D620" s="319" t="s">
        <v>228</v>
      </c>
      <c r="E620" s="319" t="s">
        <v>423</v>
      </c>
      <c r="F620" s="319"/>
      <c r="G620" s="317">
        <f>G621+G631</f>
        <v>183876.30000000002</v>
      </c>
      <c r="H620" s="317">
        <f>H621+H631</f>
        <v>183876.30000000002</v>
      </c>
      <c r="I620" s="211"/>
    </row>
    <row r="621" spans="1:9" ht="31.5" x14ac:dyDescent="0.25">
      <c r="A621" s="318" t="s">
        <v>1026</v>
      </c>
      <c r="B621" s="315">
        <v>906</v>
      </c>
      <c r="C621" s="319" t="s">
        <v>279</v>
      </c>
      <c r="D621" s="319" t="s">
        <v>228</v>
      </c>
      <c r="E621" s="319" t="s">
        <v>1004</v>
      </c>
      <c r="F621" s="319"/>
      <c r="G621" s="317">
        <f>G622+G625+G628</f>
        <v>28803</v>
      </c>
      <c r="H621" s="317">
        <f>H622+H625+H628</f>
        <v>28803</v>
      </c>
      <c r="I621" s="211"/>
    </row>
    <row r="622" spans="1:9" ht="47.25" x14ac:dyDescent="0.25">
      <c r="A622" s="320" t="s">
        <v>1450</v>
      </c>
      <c r="B622" s="314">
        <v>906</v>
      </c>
      <c r="C622" s="316" t="s">
        <v>279</v>
      </c>
      <c r="D622" s="316" t="s">
        <v>228</v>
      </c>
      <c r="E622" s="316" t="s">
        <v>1063</v>
      </c>
      <c r="F622" s="316"/>
      <c r="G622" s="321">
        <f>G623</f>
        <v>9775.4</v>
      </c>
      <c r="H622" s="321">
        <f>H623</f>
        <v>9775.4</v>
      </c>
      <c r="I622" s="211"/>
    </row>
    <row r="623" spans="1:9" ht="31.5" x14ac:dyDescent="0.25">
      <c r="A623" s="320" t="s">
        <v>287</v>
      </c>
      <c r="B623" s="314">
        <v>906</v>
      </c>
      <c r="C623" s="316" t="s">
        <v>279</v>
      </c>
      <c r="D623" s="316" t="s">
        <v>228</v>
      </c>
      <c r="E623" s="316" t="s">
        <v>1063</v>
      </c>
      <c r="F623" s="316" t="s">
        <v>288</v>
      </c>
      <c r="G623" s="321">
        <f>G624</f>
        <v>9775.4</v>
      </c>
      <c r="H623" s="321">
        <f>H624</f>
        <v>9775.4</v>
      </c>
      <c r="I623" s="211"/>
    </row>
    <row r="624" spans="1:9" ht="15.75" x14ac:dyDescent="0.25">
      <c r="A624" s="320" t="s">
        <v>289</v>
      </c>
      <c r="B624" s="314">
        <v>906</v>
      </c>
      <c r="C624" s="316" t="s">
        <v>279</v>
      </c>
      <c r="D624" s="316" t="s">
        <v>228</v>
      </c>
      <c r="E624" s="316" t="s">
        <v>1063</v>
      </c>
      <c r="F624" s="316" t="s">
        <v>290</v>
      </c>
      <c r="G624" s="321">
        <f>9765.4+10</f>
        <v>9775.4</v>
      </c>
      <c r="H624" s="321">
        <f t="shared" si="48"/>
        <v>9775.4</v>
      </c>
      <c r="I624" s="211"/>
    </row>
    <row r="625" spans="1:9" ht="47.25" x14ac:dyDescent="0.25">
      <c r="A625" s="320" t="s">
        <v>1067</v>
      </c>
      <c r="B625" s="314">
        <v>906</v>
      </c>
      <c r="C625" s="316" t="s">
        <v>279</v>
      </c>
      <c r="D625" s="316" t="s">
        <v>228</v>
      </c>
      <c r="E625" s="316" t="s">
        <v>1064</v>
      </c>
      <c r="F625" s="316"/>
      <c r="G625" s="321">
        <f>G626</f>
        <v>12351.7</v>
      </c>
      <c r="H625" s="321">
        <f>H626</f>
        <v>12351.7</v>
      </c>
      <c r="I625" s="211"/>
    </row>
    <row r="626" spans="1:9" ht="31.5" x14ac:dyDescent="0.25">
      <c r="A626" s="320" t="s">
        <v>287</v>
      </c>
      <c r="B626" s="314">
        <v>906</v>
      </c>
      <c r="C626" s="316" t="s">
        <v>279</v>
      </c>
      <c r="D626" s="316" t="s">
        <v>228</v>
      </c>
      <c r="E626" s="316" t="s">
        <v>1064</v>
      </c>
      <c r="F626" s="316" t="s">
        <v>288</v>
      </c>
      <c r="G626" s="321">
        <f>G627</f>
        <v>12351.7</v>
      </c>
      <c r="H626" s="321">
        <f>H627</f>
        <v>12351.7</v>
      </c>
      <c r="I626" s="211"/>
    </row>
    <row r="627" spans="1:9" ht="15.75" x14ac:dyDescent="0.25">
      <c r="A627" s="320" t="s">
        <v>289</v>
      </c>
      <c r="B627" s="314">
        <v>906</v>
      </c>
      <c r="C627" s="316" t="s">
        <v>279</v>
      </c>
      <c r="D627" s="316" t="s">
        <v>228</v>
      </c>
      <c r="E627" s="316" t="s">
        <v>1064</v>
      </c>
      <c r="F627" s="316" t="s">
        <v>290</v>
      </c>
      <c r="G627" s="321">
        <f>12351.7</f>
        <v>12351.7</v>
      </c>
      <c r="H627" s="321">
        <f t="shared" si="48"/>
        <v>12351.7</v>
      </c>
      <c r="I627" s="211"/>
    </row>
    <row r="628" spans="1:9" ht="47.25" x14ac:dyDescent="0.25">
      <c r="A628" s="320" t="s">
        <v>1068</v>
      </c>
      <c r="B628" s="314">
        <v>906</v>
      </c>
      <c r="C628" s="316" t="s">
        <v>279</v>
      </c>
      <c r="D628" s="316" t="s">
        <v>228</v>
      </c>
      <c r="E628" s="316" t="s">
        <v>1065</v>
      </c>
      <c r="F628" s="316"/>
      <c r="G628" s="321">
        <f>G629</f>
        <v>6675.9</v>
      </c>
      <c r="H628" s="321">
        <f>H629</f>
        <v>6675.9</v>
      </c>
      <c r="I628" s="211"/>
    </row>
    <row r="629" spans="1:9" ht="31.5" x14ac:dyDescent="0.25">
      <c r="A629" s="320" t="s">
        <v>287</v>
      </c>
      <c r="B629" s="314">
        <v>906</v>
      </c>
      <c r="C629" s="316" t="s">
        <v>279</v>
      </c>
      <c r="D629" s="316" t="s">
        <v>228</v>
      </c>
      <c r="E629" s="316" t="s">
        <v>1065</v>
      </c>
      <c r="F629" s="316" t="s">
        <v>288</v>
      </c>
      <c r="G629" s="321">
        <f>G630</f>
        <v>6675.9</v>
      </c>
      <c r="H629" s="321">
        <f>H630</f>
        <v>6675.9</v>
      </c>
      <c r="I629" s="211"/>
    </row>
    <row r="630" spans="1:9" ht="15.75" x14ac:dyDescent="0.25">
      <c r="A630" s="320" t="s">
        <v>289</v>
      </c>
      <c r="B630" s="314">
        <v>906</v>
      </c>
      <c r="C630" s="316" t="s">
        <v>279</v>
      </c>
      <c r="D630" s="316" t="s">
        <v>228</v>
      </c>
      <c r="E630" s="316" t="s">
        <v>1065</v>
      </c>
      <c r="F630" s="316" t="s">
        <v>290</v>
      </c>
      <c r="G630" s="321">
        <f>6675.9</f>
        <v>6675.9</v>
      </c>
      <c r="H630" s="321">
        <f t="shared" si="48"/>
        <v>6675.9</v>
      </c>
      <c r="I630" s="211"/>
    </row>
    <row r="631" spans="1:9" ht="47.25" x14ac:dyDescent="0.25">
      <c r="A631" s="318" t="s">
        <v>969</v>
      </c>
      <c r="B631" s="315">
        <v>906</v>
      </c>
      <c r="C631" s="319" t="s">
        <v>279</v>
      </c>
      <c r="D631" s="319" t="s">
        <v>228</v>
      </c>
      <c r="E631" s="319" t="s">
        <v>1019</v>
      </c>
      <c r="F631" s="319"/>
      <c r="G631" s="44">
        <f>G638+G641+G644+G647+G650+G635+G632</f>
        <v>155073.30000000002</v>
      </c>
      <c r="H631" s="44">
        <f>H638+H641+H644+H647+H650+H635+H632</f>
        <v>155073.30000000002</v>
      </c>
      <c r="I631" s="211"/>
    </row>
    <row r="632" spans="1:9" s="309" customFormat="1" ht="63" x14ac:dyDescent="0.25">
      <c r="A632" s="320" t="s">
        <v>1515</v>
      </c>
      <c r="B632" s="314">
        <v>906</v>
      </c>
      <c r="C632" s="316" t="s">
        <v>279</v>
      </c>
      <c r="D632" s="316" t="s">
        <v>228</v>
      </c>
      <c r="E632" s="316" t="s">
        <v>1516</v>
      </c>
      <c r="F632" s="316"/>
      <c r="G632" s="322">
        <f>G633</f>
        <v>2636.6</v>
      </c>
      <c r="H632" s="322">
        <f>H633</f>
        <v>2636.6</v>
      </c>
      <c r="I632" s="310"/>
    </row>
    <row r="633" spans="1:9" s="309" customFormat="1" ht="31.5" x14ac:dyDescent="0.25">
      <c r="A633" s="320" t="s">
        <v>287</v>
      </c>
      <c r="B633" s="314">
        <v>906</v>
      </c>
      <c r="C633" s="316" t="s">
        <v>279</v>
      </c>
      <c r="D633" s="316" t="s">
        <v>228</v>
      </c>
      <c r="E633" s="316" t="s">
        <v>1516</v>
      </c>
      <c r="F633" s="316" t="s">
        <v>288</v>
      </c>
      <c r="G633" s="322">
        <f>G634</f>
        <v>2636.6</v>
      </c>
      <c r="H633" s="322">
        <f>H634</f>
        <v>2636.6</v>
      </c>
      <c r="I633" s="310"/>
    </row>
    <row r="634" spans="1:9" s="309" customFormat="1" ht="15.75" x14ac:dyDescent="0.25">
      <c r="A634" s="320" t="s">
        <v>289</v>
      </c>
      <c r="B634" s="314">
        <v>906</v>
      </c>
      <c r="C634" s="316" t="s">
        <v>279</v>
      </c>
      <c r="D634" s="316" t="s">
        <v>228</v>
      </c>
      <c r="E634" s="316" t="s">
        <v>1516</v>
      </c>
      <c r="F634" s="316" t="s">
        <v>290</v>
      </c>
      <c r="G634" s="322">
        <v>2636.6</v>
      </c>
      <c r="H634" s="322">
        <v>2636.6</v>
      </c>
      <c r="I634" s="310"/>
    </row>
    <row r="635" spans="1:9" s="122" customFormat="1" ht="94.5" x14ac:dyDescent="0.25">
      <c r="A635" s="31" t="s">
        <v>479</v>
      </c>
      <c r="B635" s="314">
        <v>906</v>
      </c>
      <c r="C635" s="316" t="s">
        <v>279</v>
      </c>
      <c r="D635" s="316" t="s">
        <v>228</v>
      </c>
      <c r="E635" s="316" t="s">
        <v>1507</v>
      </c>
      <c r="F635" s="316"/>
      <c r="G635" s="322">
        <f>G636</f>
        <v>4841</v>
      </c>
      <c r="H635" s="322">
        <f>H636</f>
        <v>4841</v>
      </c>
      <c r="I635" s="213"/>
    </row>
    <row r="636" spans="1:9" s="122" customFormat="1" ht="31.5" x14ac:dyDescent="0.25">
      <c r="A636" s="320" t="s">
        <v>287</v>
      </c>
      <c r="B636" s="314">
        <v>906</v>
      </c>
      <c r="C636" s="316" t="s">
        <v>279</v>
      </c>
      <c r="D636" s="316" t="s">
        <v>228</v>
      </c>
      <c r="E636" s="316" t="s">
        <v>1507</v>
      </c>
      <c r="F636" s="316" t="s">
        <v>288</v>
      </c>
      <c r="G636" s="322">
        <f>G637</f>
        <v>4841</v>
      </c>
      <c r="H636" s="322">
        <f>H637</f>
        <v>4841</v>
      </c>
      <c r="I636" s="213"/>
    </row>
    <row r="637" spans="1:9" s="122" customFormat="1" ht="15.75" x14ac:dyDescent="0.25">
      <c r="A637" s="320" t="s">
        <v>289</v>
      </c>
      <c r="B637" s="314">
        <v>906</v>
      </c>
      <c r="C637" s="316" t="s">
        <v>279</v>
      </c>
      <c r="D637" s="316" t="s">
        <v>228</v>
      </c>
      <c r="E637" s="316" t="s">
        <v>1507</v>
      </c>
      <c r="F637" s="316" t="s">
        <v>290</v>
      </c>
      <c r="G637" s="322">
        <v>4841</v>
      </c>
      <c r="H637" s="322">
        <v>4841</v>
      </c>
      <c r="I637" s="213"/>
    </row>
    <row r="638" spans="1:9" ht="78.75" x14ac:dyDescent="0.25">
      <c r="A638" s="31" t="s">
        <v>475</v>
      </c>
      <c r="B638" s="314">
        <v>906</v>
      </c>
      <c r="C638" s="316" t="s">
        <v>279</v>
      </c>
      <c r="D638" s="316" t="s">
        <v>228</v>
      </c>
      <c r="E638" s="316" t="s">
        <v>1047</v>
      </c>
      <c r="F638" s="316"/>
      <c r="G638" s="321">
        <f>G639</f>
        <v>143160</v>
      </c>
      <c r="H638" s="321">
        <f>H639</f>
        <v>143160</v>
      </c>
      <c r="I638" s="211"/>
    </row>
    <row r="639" spans="1:9" ht="31.5" x14ac:dyDescent="0.25">
      <c r="A639" s="320" t="s">
        <v>287</v>
      </c>
      <c r="B639" s="314">
        <v>906</v>
      </c>
      <c r="C639" s="316" t="s">
        <v>279</v>
      </c>
      <c r="D639" s="316" t="s">
        <v>228</v>
      </c>
      <c r="E639" s="316" t="s">
        <v>1047</v>
      </c>
      <c r="F639" s="316" t="s">
        <v>288</v>
      </c>
      <c r="G639" s="321">
        <f>G640</f>
        <v>143160</v>
      </c>
      <c r="H639" s="321">
        <f>H640</f>
        <v>143160</v>
      </c>
      <c r="I639" s="211"/>
    </row>
    <row r="640" spans="1:9" ht="15.75" x14ac:dyDescent="0.25">
      <c r="A640" s="320" t="s">
        <v>289</v>
      </c>
      <c r="B640" s="314">
        <v>906</v>
      </c>
      <c r="C640" s="316" t="s">
        <v>279</v>
      </c>
      <c r="D640" s="316" t="s">
        <v>228</v>
      </c>
      <c r="E640" s="316" t="s">
        <v>1047</v>
      </c>
      <c r="F640" s="316" t="s">
        <v>290</v>
      </c>
      <c r="G640" s="321">
        <f>143160</f>
        <v>143160</v>
      </c>
      <c r="H640" s="321">
        <f t="shared" si="48"/>
        <v>143160</v>
      </c>
      <c r="I640" s="211"/>
    </row>
    <row r="641" spans="1:9" ht="63" x14ac:dyDescent="0.25">
      <c r="A641" s="31" t="s">
        <v>304</v>
      </c>
      <c r="B641" s="314">
        <v>906</v>
      </c>
      <c r="C641" s="316" t="s">
        <v>279</v>
      </c>
      <c r="D641" s="316" t="s">
        <v>228</v>
      </c>
      <c r="E641" s="316" t="s">
        <v>1018</v>
      </c>
      <c r="F641" s="316"/>
      <c r="G641" s="321">
        <f>G642</f>
        <v>1245.5999999999999</v>
      </c>
      <c r="H641" s="321">
        <f>H642</f>
        <v>1245.5999999999999</v>
      </c>
      <c r="I641" s="211"/>
    </row>
    <row r="642" spans="1:9" ht="31.5" x14ac:dyDescent="0.25">
      <c r="A642" s="320" t="s">
        <v>287</v>
      </c>
      <c r="B642" s="314">
        <v>906</v>
      </c>
      <c r="C642" s="316" t="s">
        <v>279</v>
      </c>
      <c r="D642" s="316" t="s">
        <v>228</v>
      </c>
      <c r="E642" s="316" t="s">
        <v>1018</v>
      </c>
      <c r="F642" s="316" t="s">
        <v>288</v>
      </c>
      <c r="G642" s="321">
        <f>G643</f>
        <v>1245.5999999999999</v>
      </c>
      <c r="H642" s="321">
        <f>H643</f>
        <v>1245.5999999999999</v>
      </c>
      <c r="I642" s="211"/>
    </row>
    <row r="643" spans="1:9" ht="15.75" x14ac:dyDescent="0.25">
      <c r="A643" s="320" t="s">
        <v>289</v>
      </c>
      <c r="B643" s="314">
        <v>906</v>
      </c>
      <c r="C643" s="316" t="s">
        <v>279</v>
      </c>
      <c r="D643" s="316" t="s">
        <v>228</v>
      </c>
      <c r="E643" s="316" t="s">
        <v>1018</v>
      </c>
      <c r="F643" s="316" t="s">
        <v>290</v>
      </c>
      <c r="G643" s="321">
        <f>1245.6</f>
        <v>1245.5999999999999</v>
      </c>
      <c r="H643" s="321">
        <f t="shared" si="48"/>
        <v>1245.5999999999999</v>
      </c>
      <c r="I643" s="211"/>
    </row>
    <row r="644" spans="1:9" ht="63" x14ac:dyDescent="0.25">
      <c r="A644" s="31" t="s">
        <v>306</v>
      </c>
      <c r="B644" s="314">
        <v>906</v>
      </c>
      <c r="C644" s="316" t="s">
        <v>279</v>
      </c>
      <c r="D644" s="316" t="s">
        <v>228</v>
      </c>
      <c r="E644" s="316" t="s">
        <v>1021</v>
      </c>
      <c r="F644" s="316"/>
      <c r="G644" s="321">
        <f>G645</f>
        <v>2266.6999999999998</v>
      </c>
      <c r="H644" s="321">
        <f>H645</f>
        <v>2266.6999999999998</v>
      </c>
      <c r="I644" s="211"/>
    </row>
    <row r="645" spans="1:9" ht="31.5" x14ac:dyDescent="0.25">
      <c r="A645" s="320" t="s">
        <v>287</v>
      </c>
      <c r="B645" s="314">
        <v>906</v>
      </c>
      <c r="C645" s="316" t="s">
        <v>279</v>
      </c>
      <c r="D645" s="316" t="s">
        <v>228</v>
      </c>
      <c r="E645" s="316" t="s">
        <v>1021</v>
      </c>
      <c r="F645" s="316" t="s">
        <v>288</v>
      </c>
      <c r="G645" s="321">
        <f>G646</f>
        <v>2266.6999999999998</v>
      </c>
      <c r="H645" s="321">
        <f>H646</f>
        <v>2266.6999999999998</v>
      </c>
      <c r="I645" s="211"/>
    </row>
    <row r="646" spans="1:9" ht="15.75" x14ac:dyDescent="0.25">
      <c r="A646" s="320" t="s">
        <v>289</v>
      </c>
      <c r="B646" s="314">
        <v>906</v>
      </c>
      <c r="C646" s="316" t="s">
        <v>279</v>
      </c>
      <c r="D646" s="316" t="s">
        <v>228</v>
      </c>
      <c r="E646" s="316" t="s">
        <v>1021</v>
      </c>
      <c r="F646" s="316" t="s">
        <v>290</v>
      </c>
      <c r="G646" s="321">
        <f>2266.7</f>
        <v>2266.6999999999998</v>
      </c>
      <c r="H646" s="321">
        <f t="shared" si="48"/>
        <v>2266.6999999999998</v>
      </c>
      <c r="I646" s="211"/>
    </row>
    <row r="647" spans="1:9" ht="47.25" x14ac:dyDescent="0.25">
      <c r="A647" s="31" t="s">
        <v>477</v>
      </c>
      <c r="B647" s="314">
        <v>906</v>
      </c>
      <c r="C647" s="316" t="s">
        <v>279</v>
      </c>
      <c r="D647" s="316" t="s">
        <v>228</v>
      </c>
      <c r="E647" s="316" t="s">
        <v>1048</v>
      </c>
      <c r="F647" s="316"/>
      <c r="G647" s="321">
        <f>G648</f>
        <v>923.4</v>
      </c>
      <c r="H647" s="321">
        <f>H648</f>
        <v>923.4</v>
      </c>
      <c r="I647" s="211"/>
    </row>
    <row r="648" spans="1:9" ht="31.5" x14ac:dyDescent="0.25">
      <c r="A648" s="320" t="s">
        <v>287</v>
      </c>
      <c r="B648" s="314">
        <v>906</v>
      </c>
      <c r="C648" s="316" t="s">
        <v>279</v>
      </c>
      <c r="D648" s="316" t="s">
        <v>228</v>
      </c>
      <c r="E648" s="316" t="s">
        <v>1048</v>
      </c>
      <c r="F648" s="316" t="s">
        <v>288</v>
      </c>
      <c r="G648" s="321">
        <f>G649</f>
        <v>923.4</v>
      </c>
      <c r="H648" s="321">
        <f>H649</f>
        <v>923.4</v>
      </c>
      <c r="I648" s="211"/>
    </row>
    <row r="649" spans="1:9" ht="15.75" x14ac:dyDescent="0.25">
      <c r="A649" s="320" t="s">
        <v>289</v>
      </c>
      <c r="B649" s="314">
        <v>906</v>
      </c>
      <c r="C649" s="316" t="s">
        <v>279</v>
      </c>
      <c r="D649" s="316" t="s">
        <v>228</v>
      </c>
      <c r="E649" s="316" t="s">
        <v>1048</v>
      </c>
      <c r="F649" s="316" t="s">
        <v>290</v>
      </c>
      <c r="G649" s="321">
        <f>923.4</f>
        <v>923.4</v>
      </c>
      <c r="H649" s="321">
        <f t="shared" si="48"/>
        <v>923.4</v>
      </c>
      <c r="I649" s="211"/>
    </row>
    <row r="650" spans="1:9" ht="94.5" hidden="1" x14ac:dyDescent="0.25">
      <c r="A650" s="31" t="s">
        <v>479</v>
      </c>
      <c r="B650" s="314">
        <v>906</v>
      </c>
      <c r="C650" s="316" t="s">
        <v>279</v>
      </c>
      <c r="D650" s="316" t="s">
        <v>228</v>
      </c>
      <c r="E650" s="316" t="s">
        <v>1022</v>
      </c>
      <c r="F650" s="316"/>
      <c r="G650" s="321">
        <f>G651</f>
        <v>0</v>
      </c>
      <c r="H650" s="321">
        <f>H651</f>
        <v>0</v>
      </c>
      <c r="I650" s="211"/>
    </row>
    <row r="651" spans="1:9" ht="31.5" hidden="1" x14ac:dyDescent="0.25">
      <c r="A651" s="320" t="s">
        <v>287</v>
      </c>
      <c r="B651" s="314">
        <v>906</v>
      </c>
      <c r="C651" s="316" t="s">
        <v>279</v>
      </c>
      <c r="D651" s="316" t="s">
        <v>228</v>
      </c>
      <c r="E651" s="316" t="s">
        <v>1022</v>
      </c>
      <c r="F651" s="316" t="s">
        <v>288</v>
      </c>
      <c r="G651" s="321">
        <f>G652</f>
        <v>0</v>
      </c>
      <c r="H651" s="321">
        <f>H652</f>
        <v>0</v>
      </c>
      <c r="I651" s="211"/>
    </row>
    <row r="652" spans="1:9" ht="15.75" hidden="1" x14ac:dyDescent="0.25">
      <c r="A652" s="320" t="s">
        <v>289</v>
      </c>
      <c r="B652" s="314">
        <v>906</v>
      </c>
      <c r="C652" s="316" t="s">
        <v>279</v>
      </c>
      <c r="D652" s="316" t="s">
        <v>228</v>
      </c>
      <c r="E652" s="316" t="s">
        <v>1022</v>
      </c>
      <c r="F652" s="316" t="s">
        <v>290</v>
      </c>
      <c r="G652" s="321"/>
      <c r="H652" s="321">
        <f t="shared" si="48"/>
        <v>0</v>
      </c>
      <c r="I652" s="211"/>
    </row>
    <row r="653" spans="1:9" ht="31.5" x14ac:dyDescent="0.25">
      <c r="A653" s="263" t="s">
        <v>445</v>
      </c>
      <c r="B653" s="315">
        <v>906</v>
      </c>
      <c r="C653" s="319" t="s">
        <v>279</v>
      </c>
      <c r="D653" s="319" t="s">
        <v>228</v>
      </c>
      <c r="E653" s="319" t="s">
        <v>446</v>
      </c>
      <c r="F653" s="319"/>
      <c r="G653" s="317">
        <f>G654+G667+G674+G681+G688</f>
        <v>8844.0999999999985</v>
      </c>
      <c r="H653" s="317">
        <f>H654+H667+H674+H681+H688</f>
        <v>8852.5999999999985</v>
      </c>
      <c r="I653" s="211"/>
    </row>
    <row r="654" spans="1:9" ht="31.5" x14ac:dyDescent="0.25">
      <c r="A654" s="318" t="s">
        <v>1027</v>
      </c>
      <c r="B654" s="266">
        <v>906</v>
      </c>
      <c r="C654" s="319" t="s">
        <v>279</v>
      </c>
      <c r="D654" s="319" t="s">
        <v>228</v>
      </c>
      <c r="E654" s="319" t="s">
        <v>1028</v>
      </c>
      <c r="F654" s="319"/>
      <c r="G654" s="317">
        <f>G655+G658+G661+G664</f>
        <v>224</v>
      </c>
      <c r="H654" s="317">
        <f>H655+H658+H661+H664</f>
        <v>224</v>
      </c>
      <c r="I654" s="211"/>
    </row>
    <row r="655" spans="1:9" ht="31.5" hidden="1" x14ac:dyDescent="0.25">
      <c r="A655" s="320" t="s">
        <v>455</v>
      </c>
      <c r="B655" s="37">
        <v>906</v>
      </c>
      <c r="C655" s="316" t="s">
        <v>279</v>
      </c>
      <c r="D655" s="316" t="s">
        <v>228</v>
      </c>
      <c r="E655" s="316" t="s">
        <v>1032</v>
      </c>
      <c r="F655" s="316"/>
      <c r="G655" s="321">
        <f>'Пр.4 ведом.20'!G694</f>
        <v>0</v>
      </c>
      <c r="H655" s="321">
        <f t="shared" ref="H655:H718" si="50">G655</f>
        <v>0</v>
      </c>
      <c r="I655" s="211"/>
    </row>
    <row r="656" spans="1:9" ht="31.5" hidden="1" x14ac:dyDescent="0.25">
      <c r="A656" s="320" t="s">
        <v>287</v>
      </c>
      <c r="B656" s="37">
        <v>906</v>
      </c>
      <c r="C656" s="316" t="s">
        <v>279</v>
      </c>
      <c r="D656" s="316" t="s">
        <v>228</v>
      </c>
      <c r="E656" s="316" t="s">
        <v>1032</v>
      </c>
      <c r="F656" s="316" t="s">
        <v>288</v>
      </c>
      <c r="G656" s="321">
        <f>'Пр.4 ведом.20'!G695</f>
        <v>0</v>
      </c>
      <c r="H656" s="321">
        <f t="shared" si="50"/>
        <v>0</v>
      </c>
      <c r="I656" s="211"/>
    </row>
    <row r="657" spans="1:9" ht="15.75" hidden="1" x14ac:dyDescent="0.25">
      <c r="A657" s="320" t="s">
        <v>289</v>
      </c>
      <c r="B657" s="37">
        <v>906</v>
      </c>
      <c r="C657" s="316" t="s">
        <v>279</v>
      </c>
      <c r="D657" s="316" t="s">
        <v>228</v>
      </c>
      <c r="E657" s="316" t="s">
        <v>1032</v>
      </c>
      <c r="F657" s="316" t="s">
        <v>290</v>
      </c>
      <c r="G657" s="321">
        <f>'Пр.4 ведом.20'!G696</f>
        <v>0</v>
      </c>
      <c r="H657" s="321">
        <f t="shared" si="50"/>
        <v>0</v>
      </c>
      <c r="I657" s="211"/>
    </row>
    <row r="658" spans="1:9" ht="31.5" hidden="1" x14ac:dyDescent="0.25">
      <c r="A658" s="320" t="s">
        <v>293</v>
      </c>
      <c r="B658" s="37">
        <v>906</v>
      </c>
      <c r="C658" s="316" t="s">
        <v>279</v>
      </c>
      <c r="D658" s="316" t="s">
        <v>228</v>
      </c>
      <c r="E658" s="316" t="s">
        <v>1033</v>
      </c>
      <c r="F658" s="316"/>
      <c r="G658" s="321">
        <f>G659</f>
        <v>0</v>
      </c>
      <c r="H658" s="321">
        <f t="shared" si="50"/>
        <v>0</v>
      </c>
      <c r="I658" s="211"/>
    </row>
    <row r="659" spans="1:9" ht="31.5" hidden="1" x14ac:dyDescent="0.25">
      <c r="A659" s="320" t="s">
        <v>287</v>
      </c>
      <c r="B659" s="37">
        <v>906</v>
      </c>
      <c r="C659" s="316" t="s">
        <v>279</v>
      </c>
      <c r="D659" s="316" t="s">
        <v>228</v>
      </c>
      <c r="E659" s="316" t="s">
        <v>1033</v>
      </c>
      <c r="F659" s="316" t="s">
        <v>288</v>
      </c>
      <c r="G659" s="321">
        <f>G660</f>
        <v>0</v>
      </c>
      <c r="H659" s="321">
        <f t="shared" si="50"/>
        <v>0</v>
      </c>
      <c r="I659" s="211"/>
    </row>
    <row r="660" spans="1:9" ht="15.75" hidden="1" x14ac:dyDescent="0.25">
      <c r="A660" s="320" t="s">
        <v>289</v>
      </c>
      <c r="B660" s="37">
        <v>906</v>
      </c>
      <c r="C660" s="316" t="s">
        <v>279</v>
      </c>
      <c r="D660" s="316" t="s">
        <v>228</v>
      </c>
      <c r="E660" s="316" t="s">
        <v>1033</v>
      </c>
      <c r="F660" s="316" t="s">
        <v>290</v>
      </c>
      <c r="G660" s="321">
        <v>0</v>
      </c>
      <c r="H660" s="321">
        <f t="shared" si="50"/>
        <v>0</v>
      </c>
      <c r="I660" s="211"/>
    </row>
    <row r="661" spans="1:9" ht="31.5" hidden="1" x14ac:dyDescent="0.25">
      <c r="A661" s="320" t="s">
        <v>295</v>
      </c>
      <c r="B661" s="37">
        <v>906</v>
      </c>
      <c r="C661" s="316" t="s">
        <v>279</v>
      </c>
      <c r="D661" s="316" t="s">
        <v>228</v>
      </c>
      <c r="E661" s="316" t="s">
        <v>1034</v>
      </c>
      <c r="F661" s="316"/>
      <c r="G661" s="321">
        <f>G662</f>
        <v>0</v>
      </c>
      <c r="H661" s="321">
        <f>H662</f>
        <v>0</v>
      </c>
      <c r="I661" s="211"/>
    </row>
    <row r="662" spans="1:9" ht="31.5" hidden="1" x14ac:dyDescent="0.25">
      <c r="A662" s="320" t="s">
        <v>287</v>
      </c>
      <c r="B662" s="37">
        <v>906</v>
      </c>
      <c r="C662" s="316" t="s">
        <v>279</v>
      </c>
      <c r="D662" s="316" t="s">
        <v>228</v>
      </c>
      <c r="E662" s="316" t="s">
        <v>1034</v>
      </c>
      <c r="F662" s="316" t="s">
        <v>288</v>
      </c>
      <c r="G662" s="321">
        <f>G663</f>
        <v>0</v>
      </c>
      <c r="H662" s="321">
        <f>H663</f>
        <v>0</v>
      </c>
      <c r="I662" s="211"/>
    </row>
    <row r="663" spans="1:9" ht="15.75" hidden="1" x14ac:dyDescent="0.25">
      <c r="A663" s="320" t="s">
        <v>289</v>
      </c>
      <c r="B663" s="37">
        <v>906</v>
      </c>
      <c r="C663" s="316" t="s">
        <v>279</v>
      </c>
      <c r="D663" s="316" t="s">
        <v>228</v>
      </c>
      <c r="E663" s="316" t="s">
        <v>1034</v>
      </c>
      <c r="F663" s="316" t="s">
        <v>290</v>
      </c>
      <c r="G663" s="321">
        <v>0</v>
      </c>
      <c r="H663" s="321">
        <v>0</v>
      </c>
      <c r="I663" s="211"/>
    </row>
    <row r="664" spans="1:9" ht="31.5" x14ac:dyDescent="0.25">
      <c r="A664" s="320" t="s">
        <v>297</v>
      </c>
      <c r="B664" s="37">
        <v>906</v>
      </c>
      <c r="C664" s="316" t="s">
        <v>279</v>
      </c>
      <c r="D664" s="316" t="s">
        <v>228</v>
      </c>
      <c r="E664" s="316" t="s">
        <v>1035</v>
      </c>
      <c r="F664" s="316"/>
      <c r="G664" s="321">
        <f>G665</f>
        <v>224</v>
      </c>
      <c r="H664" s="321">
        <f>H665</f>
        <v>224</v>
      </c>
      <c r="I664" s="211"/>
    </row>
    <row r="665" spans="1:9" ht="31.5" x14ac:dyDescent="0.25">
      <c r="A665" s="320" t="s">
        <v>287</v>
      </c>
      <c r="B665" s="37">
        <v>906</v>
      </c>
      <c r="C665" s="316" t="s">
        <v>279</v>
      </c>
      <c r="D665" s="316" t="s">
        <v>228</v>
      </c>
      <c r="E665" s="316" t="s">
        <v>1035</v>
      </c>
      <c r="F665" s="316" t="s">
        <v>288</v>
      </c>
      <c r="G665" s="321">
        <f>G666</f>
        <v>224</v>
      </c>
      <c r="H665" s="321">
        <f>H666</f>
        <v>224</v>
      </c>
      <c r="I665" s="211"/>
    </row>
    <row r="666" spans="1:9" ht="15.75" x14ac:dyDescent="0.25">
      <c r="A666" s="320" t="s">
        <v>289</v>
      </c>
      <c r="B666" s="37">
        <v>906</v>
      </c>
      <c r="C666" s="316" t="s">
        <v>279</v>
      </c>
      <c r="D666" s="316" t="s">
        <v>228</v>
      </c>
      <c r="E666" s="316" t="s">
        <v>1035</v>
      </c>
      <c r="F666" s="316" t="s">
        <v>290</v>
      </c>
      <c r="G666" s="321">
        <f>224</f>
        <v>224</v>
      </c>
      <c r="H666" s="321">
        <f t="shared" si="50"/>
        <v>224</v>
      </c>
      <c r="I666" s="211"/>
    </row>
    <row r="667" spans="1:9" ht="31.5" x14ac:dyDescent="0.25">
      <c r="A667" s="318" t="s">
        <v>1029</v>
      </c>
      <c r="B667" s="266">
        <v>906</v>
      </c>
      <c r="C667" s="319" t="s">
        <v>279</v>
      </c>
      <c r="D667" s="319" t="s">
        <v>228</v>
      </c>
      <c r="E667" s="319" t="s">
        <v>1030</v>
      </c>
      <c r="F667" s="319"/>
      <c r="G667" s="317">
        <f>G668+G671</f>
        <v>3943.4</v>
      </c>
      <c r="H667" s="317">
        <f>H668+H671</f>
        <v>3951.9</v>
      </c>
      <c r="I667" s="211"/>
    </row>
    <row r="668" spans="1:9" ht="49.7" customHeight="1" x14ac:dyDescent="0.25">
      <c r="A668" s="323" t="s">
        <v>617</v>
      </c>
      <c r="B668" s="37">
        <v>906</v>
      </c>
      <c r="C668" s="316" t="s">
        <v>279</v>
      </c>
      <c r="D668" s="316" t="s">
        <v>228</v>
      </c>
      <c r="E668" s="316" t="s">
        <v>1036</v>
      </c>
      <c r="F668" s="316"/>
      <c r="G668" s="321">
        <f>G669</f>
        <v>2200</v>
      </c>
      <c r="H668" s="321">
        <f>H669</f>
        <v>2200</v>
      </c>
      <c r="I668" s="211"/>
    </row>
    <row r="669" spans="1:9" ht="31.5" x14ac:dyDescent="0.25">
      <c r="A669" s="320" t="s">
        <v>287</v>
      </c>
      <c r="B669" s="37">
        <v>906</v>
      </c>
      <c r="C669" s="316" t="s">
        <v>279</v>
      </c>
      <c r="D669" s="316" t="s">
        <v>228</v>
      </c>
      <c r="E669" s="316" t="s">
        <v>1036</v>
      </c>
      <c r="F669" s="316" t="s">
        <v>288</v>
      </c>
      <c r="G669" s="321">
        <f>G670</f>
        <v>2200</v>
      </c>
      <c r="H669" s="321">
        <f>H670</f>
        <v>2200</v>
      </c>
      <c r="I669" s="211"/>
    </row>
    <row r="670" spans="1:9" ht="15.75" x14ac:dyDescent="0.25">
      <c r="A670" s="320" t="s">
        <v>289</v>
      </c>
      <c r="B670" s="37">
        <v>906</v>
      </c>
      <c r="C670" s="316" t="s">
        <v>279</v>
      </c>
      <c r="D670" s="316" t="s">
        <v>228</v>
      </c>
      <c r="E670" s="316" t="s">
        <v>1036</v>
      </c>
      <c r="F670" s="316" t="s">
        <v>290</v>
      </c>
      <c r="G670" s="321">
        <f>2200</f>
        <v>2200</v>
      </c>
      <c r="H670" s="321">
        <f t="shared" si="50"/>
        <v>2200</v>
      </c>
      <c r="I670" s="211"/>
    </row>
    <row r="671" spans="1:9" ht="31.5" x14ac:dyDescent="0.25">
      <c r="A671" s="320" t="s">
        <v>471</v>
      </c>
      <c r="B671" s="37">
        <v>906</v>
      </c>
      <c r="C671" s="316" t="s">
        <v>279</v>
      </c>
      <c r="D671" s="316" t="s">
        <v>228</v>
      </c>
      <c r="E671" s="316" t="s">
        <v>1037</v>
      </c>
      <c r="F671" s="316"/>
      <c r="G671" s="321">
        <f>G672</f>
        <v>1743.4</v>
      </c>
      <c r="H671" s="321">
        <f>H672</f>
        <v>1751.9</v>
      </c>
      <c r="I671" s="211"/>
    </row>
    <row r="672" spans="1:9" ht="31.5" x14ac:dyDescent="0.25">
      <c r="A672" s="320" t="s">
        <v>287</v>
      </c>
      <c r="B672" s="37">
        <v>906</v>
      </c>
      <c r="C672" s="316" t="s">
        <v>279</v>
      </c>
      <c r="D672" s="316" t="s">
        <v>228</v>
      </c>
      <c r="E672" s="316" t="s">
        <v>1037</v>
      </c>
      <c r="F672" s="316" t="s">
        <v>288</v>
      </c>
      <c r="G672" s="321">
        <f>G673</f>
        <v>1743.4</v>
      </c>
      <c r="H672" s="321">
        <f>H673</f>
        <v>1751.9</v>
      </c>
      <c r="I672" s="211"/>
    </row>
    <row r="673" spans="1:9" ht="15.75" x14ac:dyDescent="0.25">
      <c r="A673" s="320" t="s">
        <v>289</v>
      </c>
      <c r="B673" s="37">
        <v>906</v>
      </c>
      <c r="C673" s="316" t="s">
        <v>279</v>
      </c>
      <c r="D673" s="316" t="s">
        <v>228</v>
      </c>
      <c r="E673" s="316" t="s">
        <v>1037</v>
      </c>
      <c r="F673" s="316" t="s">
        <v>290</v>
      </c>
      <c r="G673" s="321">
        <v>1743.4</v>
      </c>
      <c r="H673" s="321">
        <v>1751.9</v>
      </c>
      <c r="I673" s="211"/>
    </row>
    <row r="674" spans="1:9" ht="31.5" x14ac:dyDescent="0.25">
      <c r="A674" s="318" t="s">
        <v>1031</v>
      </c>
      <c r="B674" s="266">
        <v>906</v>
      </c>
      <c r="C674" s="319" t="s">
        <v>279</v>
      </c>
      <c r="D674" s="319" t="s">
        <v>228</v>
      </c>
      <c r="E674" s="319" t="s">
        <v>1038</v>
      </c>
      <c r="F674" s="319"/>
      <c r="G674" s="44">
        <f>G675+G678</f>
        <v>1364.7</v>
      </c>
      <c r="H674" s="44">
        <f>H675+H678</f>
        <v>1364.7</v>
      </c>
      <c r="I674" s="211"/>
    </row>
    <row r="675" spans="1:9" ht="47.25" x14ac:dyDescent="0.25">
      <c r="A675" s="320" t="s">
        <v>453</v>
      </c>
      <c r="B675" s="37">
        <v>906</v>
      </c>
      <c r="C675" s="316" t="s">
        <v>279</v>
      </c>
      <c r="D675" s="316" t="s">
        <v>228</v>
      </c>
      <c r="E675" s="316" t="s">
        <v>1039</v>
      </c>
      <c r="F675" s="316"/>
      <c r="G675" s="321">
        <f>G676</f>
        <v>868</v>
      </c>
      <c r="H675" s="321">
        <f>H676</f>
        <v>868</v>
      </c>
      <c r="I675" s="211"/>
    </row>
    <row r="676" spans="1:9" ht="31.5" x14ac:dyDescent="0.25">
      <c r="A676" s="320" t="s">
        <v>287</v>
      </c>
      <c r="B676" s="37">
        <v>906</v>
      </c>
      <c r="C676" s="316" t="s">
        <v>279</v>
      </c>
      <c r="D676" s="316" t="s">
        <v>228</v>
      </c>
      <c r="E676" s="316" t="s">
        <v>1039</v>
      </c>
      <c r="F676" s="316" t="s">
        <v>288</v>
      </c>
      <c r="G676" s="321">
        <f>G677</f>
        <v>868</v>
      </c>
      <c r="H676" s="321">
        <f>H677</f>
        <v>868</v>
      </c>
      <c r="I676" s="211"/>
    </row>
    <row r="677" spans="1:9" ht="15.75" x14ac:dyDescent="0.25">
      <c r="A677" s="320" t="s">
        <v>289</v>
      </c>
      <c r="B677" s="37">
        <v>906</v>
      </c>
      <c r="C677" s="316" t="s">
        <v>279</v>
      </c>
      <c r="D677" s="316" t="s">
        <v>228</v>
      </c>
      <c r="E677" s="316" t="s">
        <v>1039</v>
      </c>
      <c r="F677" s="316" t="s">
        <v>290</v>
      </c>
      <c r="G677" s="321">
        <f>868</f>
        <v>868</v>
      </c>
      <c r="H677" s="321">
        <f t="shared" si="50"/>
        <v>868</v>
      </c>
      <c r="I677" s="211"/>
    </row>
    <row r="678" spans="1:9" ht="47.25" x14ac:dyDescent="0.25">
      <c r="A678" s="320" t="s">
        <v>473</v>
      </c>
      <c r="B678" s="37">
        <v>906</v>
      </c>
      <c r="C678" s="316" t="s">
        <v>279</v>
      </c>
      <c r="D678" s="316" t="s">
        <v>228</v>
      </c>
      <c r="E678" s="316" t="s">
        <v>1040</v>
      </c>
      <c r="F678" s="316"/>
      <c r="G678" s="321">
        <f>G679</f>
        <v>496.7</v>
      </c>
      <c r="H678" s="321">
        <f>H679</f>
        <v>496.7</v>
      </c>
      <c r="I678" s="211"/>
    </row>
    <row r="679" spans="1:9" ht="31.5" x14ac:dyDescent="0.25">
      <c r="A679" s="264" t="s">
        <v>287</v>
      </c>
      <c r="B679" s="314">
        <v>906</v>
      </c>
      <c r="C679" s="316" t="s">
        <v>279</v>
      </c>
      <c r="D679" s="316" t="s">
        <v>228</v>
      </c>
      <c r="E679" s="316" t="s">
        <v>1040</v>
      </c>
      <c r="F679" s="316" t="s">
        <v>288</v>
      </c>
      <c r="G679" s="321">
        <f>G680</f>
        <v>496.7</v>
      </c>
      <c r="H679" s="321">
        <f>H680</f>
        <v>496.7</v>
      </c>
      <c r="I679" s="211"/>
    </row>
    <row r="680" spans="1:9" ht="15.75" x14ac:dyDescent="0.25">
      <c r="A680" s="320" t="s">
        <v>289</v>
      </c>
      <c r="B680" s="314">
        <v>906</v>
      </c>
      <c r="C680" s="316" t="s">
        <v>279</v>
      </c>
      <c r="D680" s="316" t="s">
        <v>228</v>
      </c>
      <c r="E680" s="316" t="s">
        <v>1040</v>
      </c>
      <c r="F680" s="316" t="s">
        <v>290</v>
      </c>
      <c r="G680" s="321">
        <f>496.7</f>
        <v>496.7</v>
      </c>
      <c r="H680" s="321">
        <f t="shared" si="50"/>
        <v>496.7</v>
      </c>
      <c r="I680" s="211"/>
    </row>
    <row r="681" spans="1:9" ht="31.5" x14ac:dyDescent="0.25">
      <c r="A681" s="224" t="s">
        <v>1075</v>
      </c>
      <c r="B681" s="315">
        <v>906</v>
      </c>
      <c r="C681" s="319" t="s">
        <v>279</v>
      </c>
      <c r="D681" s="319" t="s">
        <v>228</v>
      </c>
      <c r="E681" s="319" t="s">
        <v>1041</v>
      </c>
      <c r="F681" s="319"/>
      <c r="G681" s="44">
        <f>G682+G685</f>
        <v>2634</v>
      </c>
      <c r="H681" s="44">
        <f>H682+H685</f>
        <v>2634</v>
      </c>
      <c r="I681" s="211"/>
    </row>
    <row r="682" spans="1:9" ht="31.5" hidden="1" x14ac:dyDescent="0.25">
      <c r="A682" s="320" t="s">
        <v>815</v>
      </c>
      <c r="B682" s="314">
        <v>906</v>
      </c>
      <c r="C682" s="316" t="s">
        <v>279</v>
      </c>
      <c r="D682" s="316" t="s">
        <v>228</v>
      </c>
      <c r="E682" s="316" t="s">
        <v>1043</v>
      </c>
      <c r="F682" s="316"/>
      <c r="G682" s="321">
        <f>G683</f>
        <v>0</v>
      </c>
      <c r="H682" s="321">
        <f t="shared" si="50"/>
        <v>0</v>
      </c>
      <c r="I682" s="211"/>
    </row>
    <row r="683" spans="1:9" ht="31.5" hidden="1" x14ac:dyDescent="0.25">
      <c r="A683" s="320" t="s">
        <v>287</v>
      </c>
      <c r="B683" s="314">
        <v>906</v>
      </c>
      <c r="C683" s="316" t="s">
        <v>279</v>
      </c>
      <c r="D683" s="316" t="s">
        <v>228</v>
      </c>
      <c r="E683" s="316" t="s">
        <v>1043</v>
      </c>
      <c r="F683" s="316" t="s">
        <v>288</v>
      </c>
      <c r="G683" s="321">
        <f>G684</f>
        <v>0</v>
      </c>
      <c r="H683" s="321">
        <f t="shared" si="50"/>
        <v>0</v>
      </c>
      <c r="I683" s="211"/>
    </row>
    <row r="684" spans="1:9" ht="15.75" hidden="1" x14ac:dyDescent="0.25">
      <c r="A684" s="320" t="s">
        <v>289</v>
      </c>
      <c r="B684" s="314">
        <v>906</v>
      </c>
      <c r="C684" s="316" t="s">
        <v>279</v>
      </c>
      <c r="D684" s="316" t="s">
        <v>228</v>
      </c>
      <c r="E684" s="316" t="s">
        <v>1043</v>
      </c>
      <c r="F684" s="316" t="s">
        <v>290</v>
      </c>
      <c r="G684" s="321">
        <v>0</v>
      </c>
      <c r="H684" s="321">
        <f t="shared" si="50"/>
        <v>0</v>
      </c>
      <c r="I684" s="211"/>
    </row>
    <row r="685" spans="1:9" ht="31.5" x14ac:dyDescent="0.25">
      <c r="A685" s="60" t="s">
        <v>785</v>
      </c>
      <c r="B685" s="314">
        <v>906</v>
      </c>
      <c r="C685" s="316" t="s">
        <v>279</v>
      </c>
      <c r="D685" s="316" t="s">
        <v>228</v>
      </c>
      <c r="E685" s="316" t="s">
        <v>1044</v>
      </c>
      <c r="F685" s="316"/>
      <c r="G685" s="321">
        <f>G686</f>
        <v>2634</v>
      </c>
      <c r="H685" s="321">
        <f>H686</f>
        <v>2634</v>
      </c>
      <c r="I685" s="211"/>
    </row>
    <row r="686" spans="1:9" ht="31.5" x14ac:dyDescent="0.25">
      <c r="A686" s="323" t="s">
        <v>287</v>
      </c>
      <c r="B686" s="314">
        <v>906</v>
      </c>
      <c r="C686" s="316" t="s">
        <v>279</v>
      </c>
      <c r="D686" s="316" t="s">
        <v>228</v>
      </c>
      <c r="E686" s="316" t="s">
        <v>1044</v>
      </c>
      <c r="F686" s="316" t="s">
        <v>288</v>
      </c>
      <c r="G686" s="321">
        <f>G687</f>
        <v>2634</v>
      </c>
      <c r="H686" s="321">
        <f>H687</f>
        <v>2634</v>
      </c>
      <c r="I686" s="211"/>
    </row>
    <row r="687" spans="1:9" ht="15.75" x14ac:dyDescent="0.25">
      <c r="A687" s="193" t="s">
        <v>289</v>
      </c>
      <c r="B687" s="314">
        <v>906</v>
      </c>
      <c r="C687" s="316" t="s">
        <v>279</v>
      </c>
      <c r="D687" s="316" t="s">
        <v>228</v>
      </c>
      <c r="E687" s="316" t="s">
        <v>1044</v>
      </c>
      <c r="F687" s="316" t="s">
        <v>290</v>
      </c>
      <c r="G687" s="321">
        <f>2634</f>
        <v>2634</v>
      </c>
      <c r="H687" s="321">
        <f t="shared" si="50"/>
        <v>2634</v>
      </c>
      <c r="I687" s="211"/>
    </row>
    <row r="688" spans="1:9" ht="31.5" x14ac:dyDescent="0.25">
      <c r="A688" s="222" t="s">
        <v>1046</v>
      </c>
      <c r="B688" s="315">
        <v>906</v>
      </c>
      <c r="C688" s="319" t="s">
        <v>279</v>
      </c>
      <c r="D688" s="319" t="s">
        <v>228</v>
      </c>
      <c r="E688" s="319" t="s">
        <v>1042</v>
      </c>
      <c r="F688" s="319"/>
      <c r="G688" s="317">
        <f t="shared" ref="G688:H690" si="51">G689</f>
        <v>678</v>
      </c>
      <c r="H688" s="317">
        <f t="shared" si="51"/>
        <v>678</v>
      </c>
      <c r="I688" s="211"/>
    </row>
    <row r="689" spans="1:9" ht="50.25" customHeight="1" x14ac:dyDescent="0.25">
      <c r="A689" s="193" t="s">
        <v>872</v>
      </c>
      <c r="B689" s="314">
        <v>906</v>
      </c>
      <c r="C689" s="316" t="s">
        <v>279</v>
      </c>
      <c r="D689" s="316" t="s">
        <v>228</v>
      </c>
      <c r="E689" s="316" t="s">
        <v>1045</v>
      </c>
      <c r="F689" s="316"/>
      <c r="G689" s="321">
        <f t="shared" si="51"/>
        <v>678</v>
      </c>
      <c r="H689" s="321">
        <f t="shared" si="51"/>
        <v>678</v>
      </c>
      <c r="I689" s="211"/>
    </row>
    <row r="690" spans="1:9" ht="31.5" x14ac:dyDescent="0.25">
      <c r="A690" s="31" t="s">
        <v>287</v>
      </c>
      <c r="B690" s="314">
        <v>906</v>
      </c>
      <c r="C690" s="316" t="s">
        <v>279</v>
      </c>
      <c r="D690" s="316" t="s">
        <v>228</v>
      </c>
      <c r="E690" s="316" t="s">
        <v>1045</v>
      </c>
      <c r="F690" s="316" t="s">
        <v>288</v>
      </c>
      <c r="G690" s="321">
        <f t="shared" si="51"/>
        <v>678</v>
      </c>
      <c r="H690" s="321">
        <f t="shared" si="51"/>
        <v>678</v>
      </c>
      <c r="I690" s="211"/>
    </row>
    <row r="691" spans="1:9" ht="15.75" x14ac:dyDescent="0.25">
      <c r="A691" s="31" t="s">
        <v>289</v>
      </c>
      <c r="B691" s="314">
        <v>906</v>
      </c>
      <c r="C691" s="316" t="s">
        <v>279</v>
      </c>
      <c r="D691" s="316" t="s">
        <v>228</v>
      </c>
      <c r="E691" s="316" t="s">
        <v>1045</v>
      </c>
      <c r="F691" s="316" t="s">
        <v>290</v>
      </c>
      <c r="G691" s="321">
        <f>678</f>
        <v>678</v>
      </c>
      <c r="H691" s="321">
        <f t="shared" si="50"/>
        <v>678</v>
      </c>
      <c r="I691" s="211"/>
    </row>
    <row r="692" spans="1:9" ht="63" hidden="1" x14ac:dyDescent="0.25">
      <c r="A692" s="34" t="s">
        <v>803</v>
      </c>
      <c r="B692" s="315">
        <v>906</v>
      </c>
      <c r="C692" s="319" t="s">
        <v>279</v>
      </c>
      <c r="D692" s="319" t="s">
        <v>228</v>
      </c>
      <c r="E692" s="319" t="s">
        <v>339</v>
      </c>
      <c r="F692" s="319"/>
      <c r="G692" s="317">
        <f>G693</f>
        <v>0</v>
      </c>
      <c r="H692" s="317">
        <f>H693</f>
        <v>0</v>
      </c>
      <c r="I692" s="211"/>
    </row>
    <row r="693" spans="1:9" ht="63" hidden="1" x14ac:dyDescent="0.25">
      <c r="A693" s="34" t="s">
        <v>1188</v>
      </c>
      <c r="B693" s="315">
        <v>906</v>
      </c>
      <c r="C693" s="319" t="s">
        <v>279</v>
      </c>
      <c r="D693" s="319" t="s">
        <v>228</v>
      </c>
      <c r="E693" s="319" t="s">
        <v>1023</v>
      </c>
      <c r="F693" s="319"/>
      <c r="G693" s="317">
        <f>G694</f>
        <v>0</v>
      </c>
      <c r="H693" s="317">
        <f>H694</f>
        <v>0</v>
      </c>
      <c r="I693" s="211"/>
    </row>
    <row r="694" spans="1:9" ht="47.25" hidden="1" x14ac:dyDescent="0.25">
      <c r="A694" s="31" t="s">
        <v>1272</v>
      </c>
      <c r="B694" s="314">
        <v>906</v>
      </c>
      <c r="C694" s="316" t="s">
        <v>279</v>
      </c>
      <c r="D694" s="316" t="s">
        <v>228</v>
      </c>
      <c r="E694" s="316" t="s">
        <v>1024</v>
      </c>
      <c r="F694" s="316"/>
      <c r="G694" s="321">
        <f>G695</f>
        <v>0</v>
      </c>
      <c r="H694" s="321">
        <f t="shared" si="50"/>
        <v>0</v>
      </c>
      <c r="I694" s="211"/>
    </row>
    <row r="695" spans="1:9" ht="31.5" hidden="1" x14ac:dyDescent="0.25">
      <c r="A695" s="31" t="s">
        <v>287</v>
      </c>
      <c r="B695" s="314">
        <v>906</v>
      </c>
      <c r="C695" s="316" t="s">
        <v>279</v>
      </c>
      <c r="D695" s="316" t="s">
        <v>228</v>
      </c>
      <c r="E695" s="316" t="s">
        <v>1024</v>
      </c>
      <c r="F695" s="316" t="s">
        <v>288</v>
      </c>
      <c r="G695" s="321">
        <f>G696</f>
        <v>0</v>
      </c>
      <c r="H695" s="321">
        <f t="shared" si="50"/>
        <v>0</v>
      </c>
      <c r="I695" s="211"/>
    </row>
    <row r="696" spans="1:9" ht="15.75" hidden="1" x14ac:dyDescent="0.25">
      <c r="A696" s="31" t="s">
        <v>289</v>
      </c>
      <c r="B696" s="314">
        <v>906</v>
      </c>
      <c r="C696" s="316" t="s">
        <v>279</v>
      </c>
      <c r="D696" s="316" t="s">
        <v>228</v>
      </c>
      <c r="E696" s="316" t="s">
        <v>1024</v>
      </c>
      <c r="F696" s="316" t="s">
        <v>290</v>
      </c>
      <c r="G696" s="321">
        <v>0</v>
      </c>
      <c r="H696" s="321">
        <v>0</v>
      </c>
      <c r="I696" s="211"/>
    </row>
    <row r="697" spans="1:9" ht="63" x14ac:dyDescent="0.25">
      <c r="A697" s="41" t="s">
        <v>1417</v>
      </c>
      <c r="B697" s="315">
        <v>906</v>
      </c>
      <c r="C697" s="319" t="s">
        <v>279</v>
      </c>
      <c r="D697" s="319" t="s">
        <v>228</v>
      </c>
      <c r="E697" s="319" t="s">
        <v>726</v>
      </c>
      <c r="F697" s="228"/>
      <c r="G697" s="317">
        <f t="shared" ref="G697:H700" si="52">G698</f>
        <v>723.3</v>
      </c>
      <c r="H697" s="317">
        <f t="shared" si="52"/>
        <v>723.3</v>
      </c>
      <c r="I697" s="211"/>
    </row>
    <row r="698" spans="1:9" ht="47.25" x14ac:dyDescent="0.25">
      <c r="A698" s="41" t="s">
        <v>947</v>
      </c>
      <c r="B698" s="315">
        <v>906</v>
      </c>
      <c r="C698" s="319" t="s">
        <v>279</v>
      </c>
      <c r="D698" s="319" t="s">
        <v>228</v>
      </c>
      <c r="E698" s="319" t="s">
        <v>945</v>
      </c>
      <c r="F698" s="228"/>
      <c r="G698" s="317">
        <f t="shared" si="52"/>
        <v>723.3</v>
      </c>
      <c r="H698" s="317">
        <f t="shared" si="52"/>
        <v>723.3</v>
      </c>
      <c r="I698" s="211"/>
    </row>
    <row r="699" spans="1:9" ht="47.25" x14ac:dyDescent="0.25">
      <c r="A699" s="99" t="s">
        <v>801</v>
      </c>
      <c r="B699" s="314">
        <v>906</v>
      </c>
      <c r="C699" s="316" t="s">
        <v>279</v>
      </c>
      <c r="D699" s="316" t="s">
        <v>228</v>
      </c>
      <c r="E699" s="316" t="s">
        <v>1025</v>
      </c>
      <c r="F699" s="32"/>
      <c r="G699" s="321">
        <f t="shared" si="52"/>
        <v>723.3</v>
      </c>
      <c r="H699" s="321">
        <f t="shared" si="52"/>
        <v>723.3</v>
      </c>
      <c r="I699" s="211"/>
    </row>
    <row r="700" spans="1:9" ht="31.5" x14ac:dyDescent="0.25">
      <c r="A700" s="323" t="s">
        <v>287</v>
      </c>
      <c r="B700" s="314">
        <v>906</v>
      </c>
      <c r="C700" s="316" t="s">
        <v>279</v>
      </c>
      <c r="D700" s="316" t="s">
        <v>228</v>
      </c>
      <c r="E700" s="316" t="s">
        <v>1025</v>
      </c>
      <c r="F700" s="32" t="s">
        <v>288</v>
      </c>
      <c r="G700" s="321">
        <f t="shared" si="52"/>
        <v>723.3</v>
      </c>
      <c r="H700" s="321">
        <f t="shared" si="52"/>
        <v>723.3</v>
      </c>
      <c r="I700" s="211"/>
    </row>
    <row r="701" spans="1:9" ht="15.75" x14ac:dyDescent="0.25">
      <c r="A701" s="193" t="s">
        <v>289</v>
      </c>
      <c r="B701" s="314">
        <v>906</v>
      </c>
      <c r="C701" s="316" t="s">
        <v>279</v>
      </c>
      <c r="D701" s="316" t="s">
        <v>228</v>
      </c>
      <c r="E701" s="316" t="s">
        <v>1025</v>
      </c>
      <c r="F701" s="32" t="s">
        <v>290</v>
      </c>
      <c r="G701" s="321">
        <f>723.3</f>
        <v>723.3</v>
      </c>
      <c r="H701" s="321">
        <f t="shared" si="50"/>
        <v>723.3</v>
      </c>
      <c r="I701" s="211"/>
    </row>
    <row r="702" spans="1:9" ht="15.75" x14ac:dyDescent="0.25">
      <c r="A702" s="318" t="s">
        <v>280</v>
      </c>
      <c r="B702" s="315">
        <v>906</v>
      </c>
      <c r="C702" s="319" t="s">
        <v>279</v>
      </c>
      <c r="D702" s="319" t="s">
        <v>230</v>
      </c>
      <c r="E702" s="319"/>
      <c r="F702" s="319"/>
      <c r="G702" s="44">
        <f>G703+G731</f>
        <v>35226.899999999994</v>
      </c>
      <c r="H702" s="44">
        <f>H703+H731</f>
        <v>35226.899999999994</v>
      </c>
      <c r="I702" s="211"/>
    </row>
    <row r="703" spans="1:9" ht="47.25" x14ac:dyDescent="0.25">
      <c r="A703" s="318" t="s">
        <v>441</v>
      </c>
      <c r="B703" s="315">
        <v>906</v>
      </c>
      <c r="C703" s="319" t="s">
        <v>279</v>
      </c>
      <c r="D703" s="319" t="s">
        <v>230</v>
      </c>
      <c r="E703" s="319" t="s">
        <v>421</v>
      </c>
      <c r="F703" s="319"/>
      <c r="G703" s="44">
        <f>G704+G722</f>
        <v>34926.199999999997</v>
      </c>
      <c r="H703" s="44">
        <f>H704+H722</f>
        <v>34926.199999999997</v>
      </c>
      <c r="I703" s="211"/>
    </row>
    <row r="704" spans="1:9" ht="31.5" x14ac:dyDescent="0.25">
      <c r="A704" s="318" t="s">
        <v>422</v>
      </c>
      <c r="B704" s="315">
        <v>906</v>
      </c>
      <c r="C704" s="319" t="s">
        <v>279</v>
      </c>
      <c r="D704" s="319" t="s">
        <v>230</v>
      </c>
      <c r="E704" s="319" t="s">
        <v>423</v>
      </c>
      <c r="F704" s="319"/>
      <c r="G704" s="44">
        <f>G706+G709</f>
        <v>34237.199999999997</v>
      </c>
      <c r="H704" s="44">
        <f>H706+H709</f>
        <v>34237.199999999997</v>
      </c>
      <c r="I704" s="211"/>
    </row>
    <row r="705" spans="1:9" ht="31.5" x14ac:dyDescent="0.25">
      <c r="A705" s="318" t="s">
        <v>1026</v>
      </c>
      <c r="B705" s="315">
        <v>906</v>
      </c>
      <c r="C705" s="319" t="s">
        <v>279</v>
      </c>
      <c r="D705" s="319" t="s">
        <v>230</v>
      </c>
      <c r="E705" s="319" t="s">
        <v>1004</v>
      </c>
      <c r="F705" s="319"/>
      <c r="G705" s="44">
        <f t="shared" ref="G705:H707" si="53">G706</f>
        <v>32615</v>
      </c>
      <c r="H705" s="44">
        <f t="shared" si="53"/>
        <v>32615</v>
      </c>
      <c r="I705" s="211"/>
    </row>
    <row r="706" spans="1:9" ht="47.25" x14ac:dyDescent="0.25">
      <c r="A706" s="320" t="s">
        <v>285</v>
      </c>
      <c r="B706" s="314">
        <v>906</v>
      </c>
      <c r="C706" s="316" t="s">
        <v>279</v>
      </c>
      <c r="D706" s="316" t="s">
        <v>230</v>
      </c>
      <c r="E706" s="316" t="s">
        <v>1049</v>
      </c>
      <c r="F706" s="316"/>
      <c r="G706" s="321">
        <f t="shared" si="53"/>
        <v>32615</v>
      </c>
      <c r="H706" s="321">
        <f t="shared" si="53"/>
        <v>32615</v>
      </c>
      <c r="I706" s="211"/>
    </row>
    <row r="707" spans="1:9" ht="31.5" x14ac:dyDescent="0.25">
      <c r="A707" s="320" t="s">
        <v>287</v>
      </c>
      <c r="B707" s="314">
        <v>906</v>
      </c>
      <c r="C707" s="316" t="s">
        <v>279</v>
      </c>
      <c r="D707" s="316" t="s">
        <v>230</v>
      </c>
      <c r="E707" s="316" t="s">
        <v>1049</v>
      </c>
      <c r="F707" s="316" t="s">
        <v>288</v>
      </c>
      <c r="G707" s="321">
        <f t="shared" si="53"/>
        <v>32615</v>
      </c>
      <c r="H707" s="321">
        <f t="shared" si="53"/>
        <v>32615</v>
      </c>
      <c r="I707" s="211"/>
    </row>
    <row r="708" spans="1:9" ht="15.75" x14ac:dyDescent="0.25">
      <c r="A708" s="320" t="s">
        <v>289</v>
      </c>
      <c r="B708" s="314">
        <v>906</v>
      </c>
      <c r="C708" s="316" t="s">
        <v>279</v>
      </c>
      <c r="D708" s="316" t="s">
        <v>230</v>
      </c>
      <c r="E708" s="316" t="s">
        <v>1049</v>
      </c>
      <c r="F708" s="316" t="s">
        <v>290</v>
      </c>
      <c r="G708" s="321">
        <f>32615</f>
        <v>32615</v>
      </c>
      <c r="H708" s="321">
        <f t="shared" si="50"/>
        <v>32615</v>
      </c>
      <c r="I708" s="211"/>
    </row>
    <row r="709" spans="1:9" ht="47.25" x14ac:dyDescent="0.25">
      <c r="A709" s="318" t="s">
        <v>969</v>
      </c>
      <c r="B709" s="315">
        <v>906</v>
      </c>
      <c r="C709" s="319" t="s">
        <v>279</v>
      </c>
      <c r="D709" s="319" t="s">
        <v>230</v>
      </c>
      <c r="E709" s="319" t="s">
        <v>1019</v>
      </c>
      <c r="F709" s="319"/>
      <c r="G709" s="44">
        <f>G713+G716+G719+G710</f>
        <v>1622.1999999999998</v>
      </c>
      <c r="H709" s="44">
        <f>H713+H716+H719+H710</f>
        <v>1622.1999999999998</v>
      </c>
      <c r="I709" s="211"/>
    </row>
    <row r="710" spans="1:9" s="309" customFormat="1" ht="94.5" x14ac:dyDescent="0.25">
      <c r="A710" s="31" t="s">
        <v>308</v>
      </c>
      <c r="B710" s="314">
        <v>906</v>
      </c>
      <c r="C710" s="316" t="s">
        <v>279</v>
      </c>
      <c r="D710" s="316" t="s">
        <v>230</v>
      </c>
      <c r="E710" s="316" t="s">
        <v>1507</v>
      </c>
      <c r="F710" s="316"/>
      <c r="G710" s="322">
        <f>G711</f>
        <v>903.4</v>
      </c>
      <c r="H710" s="322">
        <f>H711</f>
        <v>903.4</v>
      </c>
      <c r="I710" s="310"/>
    </row>
    <row r="711" spans="1:9" s="309" customFormat="1" ht="31.5" x14ac:dyDescent="0.25">
      <c r="A711" s="320" t="s">
        <v>287</v>
      </c>
      <c r="B711" s="314">
        <v>906</v>
      </c>
      <c r="C711" s="316" t="s">
        <v>279</v>
      </c>
      <c r="D711" s="316" t="s">
        <v>230</v>
      </c>
      <c r="E711" s="316" t="s">
        <v>1507</v>
      </c>
      <c r="F711" s="316" t="s">
        <v>288</v>
      </c>
      <c r="G711" s="322">
        <f>G712</f>
        <v>903.4</v>
      </c>
      <c r="H711" s="322">
        <f>H712</f>
        <v>903.4</v>
      </c>
      <c r="I711" s="310"/>
    </row>
    <row r="712" spans="1:9" s="309" customFormat="1" ht="15.75" x14ac:dyDescent="0.25">
      <c r="A712" s="320" t="s">
        <v>289</v>
      </c>
      <c r="B712" s="314">
        <v>906</v>
      </c>
      <c r="C712" s="316" t="s">
        <v>279</v>
      </c>
      <c r="D712" s="316" t="s">
        <v>230</v>
      </c>
      <c r="E712" s="316" t="s">
        <v>1507</v>
      </c>
      <c r="F712" s="316" t="s">
        <v>290</v>
      </c>
      <c r="G712" s="322">
        <f>903.4</f>
        <v>903.4</v>
      </c>
      <c r="H712" s="322">
        <v>903.4</v>
      </c>
      <c r="I712" s="310"/>
    </row>
    <row r="713" spans="1:9" ht="63" x14ac:dyDescent="0.25">
      <c r="A713" s="31" t="s">
        <v>304</v>
      </c>
      <c r="B713" s="314">
        <v>906</v>
      </c>
      <c r="C713" s="316" t="s">
        <v>279</v>
      </c>
      <c r="D713" s="316" t="s">
        <v>230</v>
      </c>
      <c r="E713" s="316" t="s">
        <v>1018</v>
      </c>
      <c r="F713" s="316"/>
      <c r="G713" s="321">
        <f>G714</f>
        <v>169.3</v>
      </c>
      <c r="H713" s="321">
        <f>H714</f>
        <v>169.3</v>
      </c>
      <c r="I713" s="211"/>
    </row>
    <row r="714" spans="1:9" ht="31.5" x14ac:dyDescent="0.25">
      <c r="A714" s="320" t="s">
        <v>287</v>
      </c>
      <c r="B714" s="314">
        <v>906</v>
      </c>
      <c r="C714" s="316" t="s">
        <v>279</v>
      </c>
      <c r="D714" s="316" t="s">
        <v>230</v>
      </c>
      <c r="E714" s="316" t="s">
        <v>1018</v>
      </c>
      <c r="F714" s="316" t="s">
        <v>288</v>
      </c>
      <c r="G714" s="321">
        <f>G715</f>
        <v>169.3</v>
      </c>
      <c r="H714" s="321">
        <f>H715</f>
        <v>169.3</v>
      </c>
      <c r="I714" s="211"/>
    </row>
    <row r="715" spans="1:9" ht="15.75" x14ac:dyDescent="0.25">
      <c r="A715" s="320" t="s">
        <v>289</v>
      </c>
      <c r="B715" s="314">
        <v>906</v>
      </c>
      <c r="C715" s="316" t="s">
        <v>279</v>
      </c>
      <c r="D715" s="316" t="s">
        <v>230</v>
      </c>
      <c r="E715" s="316" t="s">
        <v>1018</v>
      </c>
      <c r="F715" s="316" t="s">
        <v>290</v>
      </c>
      <c r="G715" s="321">
        <f>169.3</f>
        <v>169.3</v>
      </c>
      <c r="H715" s="321">
        <f t="shared" si="50"/>
        <v>169.3</v>
      </c>
      <c r="I715" s="211"/>
    </row>
    <row r="716" spans="1:9" ht="63" x14ac:dyDescent="0.25">
      <c r="A716" s="31" t="s">
        <v>306</v>
      </c>
      <c r="B716" s="314">
        <v>906</v>
      </c>
      <c r="C716" s="316" t="s">
        <v>279</v>
      </c>
      <c r="D716" s="316" t="s">
        <v>230</v>
      </c>
      <c r="E716" s="316" t="s">
        <v>1021</v>
      </c>
      <c r="F716" s="316"/>
      <c r="G716" s="321">
        <f>G717</f>
        <v>549.5</v>
      </c>
      <c r="H716" s="321">
        <f>H717</f>
        <v>549.5</v>
      </c>
      <c r="I716" s="211"/>
    </row>
    <row r="717" spans="1:9" ht="31.5" x14ac:dyDescent="0.25">
      <c r="A717" s="320" t="s">
        <v>287</v>
      </c>
      <c r="B717" s="314">
        <v>906</v>
      </c>
      <c r="C717" s="316" t="s">
        <v>279</v>
      </c>
      <c r="D717" s="316" t="s">
        <v>230</v>
      </c>
      <c r="E717" s="316" t="s">
        <v>1021</v>
      </c>
      <c r="F717" s="316" t="s">
        <v>288</v>
      </c>
      <c r="G717" s="321">
        <f>G718</f>
        <v>549.5</v>
      </c>
      <c r="H717" s="321">
        <f>H718</f>
        <v>549.5</v>
      </c>
      <c r="I717" s="211"/>
    </row>
    <row r="718" spans="1:9" ht="15.75" x14ac:dyDescent="0.25">
      <c r="A718" s="320" t="s">
        <v>289</v>
      </c>
      <c r="B718" s="314">
        <v>906</v>
      </c>
      <c r="C718" s="316" t="s">
        <v>279</v>
      </c>
      <c r="D718" s="316" t="s">
        <v>230</v>
      </c>
      <c r="E718" s="316" t="s">
        <v>1021</v>
      </c>
      <c r="F718" s="316" t="s">
        <v>290</v>
      </c>
      <c r="G718" s="321">
        <f>549.5</f>
        <v>549.5</v>
      </c>
      <c r="H718" s="321">
        <f t="shared" si="50"/>
        <v>549.5</v>
      </c>
      <c r="I718" s="211"/>
    </row>
    <row r="719" spans="1:9" ht="94.5" hidden="1" x14ac:dyDescent="0.25">
      <c r="A719" s="31" t="s">
        <v>308</v>
      </c>
      <c r="B719" s="314">
        <v>906</v>
      </c>
      <c r="C719" s="316" t="s">
        <v>279</v>
      </c>
      <c r="D719" s="316" t="s">
        <v>230</v>
      </c>
      <c r="E719" s="316" t="s">
        <v>1022</v>
      </c>
      <c r="F719" s="316"/>
      <c r="G719" s="321">
        <f>G720</f>
        <v>0</v>
      </c>
      <c r="H719" s="321">
        <f>H720</f>
        <v>0</v>
      </c>
      <c r="I719" s="211"/>
    </row>
    <row r="720" spans="1:9" ht="31.5" hidden="1" x14ac:dyDescent="0.25">
      <c r="A720" s="320" t="s">
        <v>287</v>
      </c>
      <c r="B720" s="314">
        <v>906</v>
      </c>
      <c r="C720" s="316" t="s">
        <v>279</v>
      </c>
      <c r="D720" s="316" t="s">
        <v>230</v>
      </c>
      <c r="E720" s="316" t="s">
        <v>1022</v>
      </c>
      <c r="F720" s="316" t="s">
        <v>288</v>
      </c>
      <c r="G720" s="321">
        <f>G721</f>
        <v>0</v>
      </c>
      <c r="H720" s="321">
        <f>H721</f>
        <v>0</v>
      </c>
      <c r="I720" s="211"/>
    </row>
    <row r="721" spans="1:9" ht="15.75" hidden="1" x14ac:dyDescent="0.25">
      <c r="A721" s="320" t="s">
        <v>289</v>
      </c>
      <c r="B721" s="314">
        <v>906</v>
      </c>
      <c r="C721" s="316" t="s">
        <v>279</v>
      </c>
      <c r="D721" s="316" t="s">
        <v>230</v>
      </c>
      <c r="E721" s="316" t="s">
        <v>1022</v>
      </c>
      <c r="F721" s="316" t="s">
        <v>290</v>
      </c>
      <c r="G721" s="321"/>
      <c r="H721" s="321">
        <f t="shared" ref="H721:H788" si="54">G721</f>
        <v>0</v>
      </c>
      <c r="I721" s="211"/>
    </row>
    <row r="722" spans="1:9" ht="31.5" x14ac:dyDescent="0.25">
      <c r="A722" s="34" t="s">
        <v>719</v>
      </c>
      <c r="B722" s="315">
        <v>906</v>
      </c>
      <c r="C722" s="319" t="s">
        <v>279</v>
      </c>
      <c r="D722" s="319" t="s">
        <v>230</v>
      </c>
      <c r="E722" s="319" t="s">
        <v>462</v>
      </c>
      <c r="F722" s="319"/>
      <c r="G722" s="44">
        <f>G723+G727</f>
        <v>689</v>
      </c>
      <c r="H722" s="44">
        <f>H723+H727</f>
        <v>689</v>
      </c>
      <c r="I722" s="211"/>
    </row>
    <row r="723" spans="1:9" ht="31.5" hidden="1" x14ac:dyDescent="0.25">
      <c r="A723" s="318" t="s">
        <v>1050</v>
      </c>
      <c r="B723" s="315">
        <v>906</v>
      </c>
      <c r="C723" s="319" t="s">
        <v>279</v>
      </c>
      <c r="D723" s="319" t="s">
        <v>230</v>
      </c>
      <c r="E723" s="319" t="s">
        <v>1231</v>
      </c>
      <c r="F723" s="319"/>
      <c r="G723" s="44">
        <f>G724</f>
        <v>0</v>
      </c>
      <c r="H723" s="44">
        <f>H724</f>
        <v>0</v>
      </c>
      <c r="I723" s="211"/>
    </row>
    <row r="724" spans="1:9" ht="31.5" hidden="1" x14ac:dyDescent="0.25">
      <c r="A724" s="45" t="s">
        <v>787</v>
      </c>
      <c r="B724" s="314">
        <v>906</v>
      </c>
      <c r="C724" s="316" t="s">
        <v>279</v>
      </c>
      <c r="D724" s="316" t="s">
        <v>230</v>
      </c>
      <c r="E724" s="316" t="s">
        <v>1232</v>
      </c>
      <c r="F724" s="316"/>
      <c r="G724" s="321">
        <f>G725</f>
        <v>0</v>
      </c>
      <c r="H724" s="321">
        <f t="shared" si="54"/>
        <v>0</v>
      </c>
      <c r="I724" s="211"/>
    </row>
    <row r="725" spans="1:9" ht="31.5" hidden="1" x14ac:dyDescent="0.25">
      <c r="A725" s="31" t="s">
        <v>287</v>
      </c>
      <c r="B725" s="314">
        <v>906</v>
      </c>
      <c r="C725" s="316" t="s">
        <v>279</v>
      </c>
      <c r="D725" s="316" t="s">
        <v>230</v>
      </c>
      <c r="E725" s="316" t="s">
        <v>1232</v>
      </c>
      <c r="F725" s="316" t="s">
        <v>288</v>
      </c>
      <c r="G725" s="321">
        <f>G726</f>
        <v>0</v>
      </c>
      <c r="H725" s="321">
        <f t="shared" si="54"/>
        <v>0</v>
      </c>
      <c r="I725" s="211"/>
    </row>
    <row r="726" spans="1:9" ht="15.75" hidden="1" x14ac:dyDescent="0.25">
      <c r="A726" s="31" t="s">
        <v>289</v>
      </c>
      <c r="B726" s="314">
        <v>906</v>
      </c>
      <c r="C726" s="316" t="s">
        <v>279</v>
      </c>
      <c r="D726" s="316" t="s">
        <v>230</v>
      </c>
      <c r="E726" s="316" t="s">
        <v>1232</v>
      </c>
      <c r="F726" s="316" t="s">
        <v>290</v>
      </c>
      <c r="G726" s="321">
        <v>0</v>
      </c>
      <c r="H726" s="321">
        <f t="shared" si="54"/>
        <v>0</v>
      </c>
      <c r="I726" s="211"/>
    </row>
    <row r="727" spans="1:9" ht="31.5" x14ac:dyDescent="0.25">
      <c r="A727" s="224" t="s">
        <v>1075</v>
      </c>
      <c r="B727" s="315">
        <v>906</v>
      </c>
      <c r="C727" s="319" t="s">
        <v>279</v>
      </c>
      <c r="D727" s="319" t="s">
        <v>230</v>
      </c>
      <c r="E727" s="319" t="s">
        <v>1051</v>
      </c>
      <c r="F727" s="319"/>
      <c r="G727" s="44">
        <f t="shared" ref="G727:H729" si="55">G728</f>
        <v>689</v>
      </c>
      <c r="H727" s="44">
        <f t="shared" si="55"/>
        <v>689</v>
      </c>
      <c r="I727" s="211"/>
    </row>
    <row r="728" spans="1:9" ht="31.5" x14ac:dyDescent="0.25">
      <c r="A728" s="45" t="s">
        <v>785</v>
      </c>
      <c r="B728" s="314">
        <v>906</v>
      </c>
      <c r="C728" s="316" t="s">
        <v>279</v>
      </c>
      <c r="D728" s="316" t="s">
        <v>230</v>
      </c>
      <c r="E728" s="316" t="s">
        <v>1052</v>
      </c>
      <c r="F728" s="316"/>
      <c r="G728" s="321">
        <f t="shared" si="55"/>
        <v>689</v>
      </c>
      <c r="H728" s="321">
        <f t="shared" si="55"/>
        <v>689</v>
      </c>
      <c r="I728" s="211"/>
    </row>
    <row r="729" spans="1:9" ht="31.5" x14ac:dyDescent="0.25">
      <c r="A729" s="320" t="s">
        <v>287</v>
      </c>
      <c r="B729" s="314">
        <v>906</v>
      </c>
      <c r="C729" s="316" t="s">
        <v>279</v>
      </c>
      <c r="D729" s="316" t="s">
        <v>230</v>
      </c>
      <c r="E729" s="316" t="s">
        <v>1052</v>
      </c>
      <c r="F729" s="316" t="s">
        <v>288</v>
      </c>
      <c r="G729" s="321">
        <f t="shared" si="55"/>
        <v>689</v>
      </c>
      <c r="H729" s="321">
        <f t="shared" si="55"/>
        <v>689</v>
      </c>
      <c r="I729" s="211"/>
    </row>
    <row r="730" spans="1:9" ht="15.75" x14ac:dyDescent="0.25">
      <c r="A730" s="31" t="s">
        <v>289</v>
      </c>
      <c r="B730" s="314">
        <v>906</v>
      </c>
      <c r="C730" s="316" t="s">
        <v>279</v>
      </c>
      <c r="D730" s="316" t="s">
        <v>230</v>
      </c>
      <c r="E730" s="316" t="s">
        <v>1052</v>
      </c>
      <c r="F730" s="316" t="s">
        <v>290</v>
      </c>
      <c r="G730" s="321">
        <f>689</f>
        <v>689</v>
      </c>
      <c r="H730" s="321">
        <f t="shared" si="54"/>
        <v>689</v>
      </c>
      <c r="I730" s="211"/>
    </row>
    <row r="731" spans="1:9" ht="63" x14ac:dyDescent="0.25">
      <c r="A731" s="41" t="s">
        <v>1417</v>
      </c>
      <c r="B731" s="315">
        <v>906</v>
      </c>
      <c r="C731" s="319" t="s">
        <v>279</v>
      </c>
      <c r="D731" s="319" t="s">
        <v>230</v>
      </c>
      <c r="E731" s="319" t="s">
        <v>726</v>
      </c>
      <c r="F731" s="228"/>
      <c r="G731" s="44">
        <f>G733</f>
        <v>300.7</v>
      </c>
      <c r="H731" s="44">
        <f>H733</f>
        <v>300.7</v>
      </c>
      <c r="I731" s="211"/>
    </row>
    <row r="732" spans="1:9" ht="47.25" x14ac:dyDescent="0.25">
      <c r="A732" s="41" t="s">
        <v>947</v>
      </c>
      <c r="B732" s="315">
        <v>906</v>
      </c>
      <c r="C732" s="319" t="s">
        <v>279</v>
      </c>
      <c r="D732" s="319" t="s">
        <v>1053</v>
      </c>
      <c r="E732" s="319" t="s">
        <v>945</v>
      </c>
      <c r="F732" s="228"/>
      <c r="G732" s="44">
        <f t="shared" ref="G732:H734" si="56">G733</f>
        <v>300.7</v>
      </c>
      <c r="H732" s="44">
        <f t="shared" si="56"/>
        <v>300.7</v>
      </c>
      <c r="I732" s="211"/>
    </row>
    <row r="733" spans="1:9" ht="47.25" x14ac:dyDescent="0.25">
      <c r="A733" s="99" t="s">
        <v>801</v>
      </c>
      <c r="B733" s="314">
        <v>906</v>
      </c>
      <c r="C733" s="316" t="s">
        <v>279</v>
      </c>
      <c r="D733" s="316" t="s">
        <v>230</v>
      </c>
      <c r="E733" s="316" t="s">
        <v>1025</v>
      </c>
      <c r="F733" s="32"/>
      <c r="G733" s="321">
        <f t="shared" si="56"/>
        <v>300.7</v>
      </c>
      <c r="H733" s="321">
        <f t="shared" si="56"/>
        <v>300.7</v>
      </c>
      <c r="I733" s="211"/>
    </row>
    <row r="734" spans="1:9" ht="31.5" x14ac:dyDescent="0.25">
      <c r="A734" s="323" t="s">
        <v>287</v>
      </c>
      <c r="B734" s="314">
        <v>906</v>
      </c>
      <c r="C734" s="316" t="s">
        <v>279</v>
      </c>
      <c r="D734" s="316" t="s">
        <v>230</v>
      </c>
      <c r="E734" s="316" t="s">
        <v>1025</v>
      </c>
      <c r="F734" s="32" t="s">
        <v>288</v>
      </c>
      <c r="G734" s="321">
        <f t="shared" si="56"/>
        <v>300.7</v>
      </c>
      <c r="H734" s="321">
        <f t="shared" si="56"/>
        <v>300.7</v>
      </c>
      <c r="I734" s="211"/>
    </row>
    <row r="735" spans="1:9" ht="15.75" x14ac:dyDescent="0.25">
      <c r="A735" s="193" t="s">
        <v>289</v>
      </c>
      <c r="B735" s="314">
        <v>906</v>
      </c>
      <c r="C735" s="316" t="s">
        <v>279</v>
      </c>
      <c r="D735" s="316" t="s">
        <v>230</v>
      </c>
      <c r="E735" s="316" t="s">
        <v>1025</v>
      </c>
      <c r="F735" s="32" t="s">
        <v>290</v>
      </c>
      <c r="G735" s="321">
        <f>300.7</f>
        <v>300.7</v>
      </c>
      <c r="H735" s="321">
        <f t="shared" si="54"/>
        <v>300.7</v>
      </c>
      <c r="I735" s="211"/>
    </row>
    <row r="736" spans="1:9" ht="15.75" x14ac:dyDescent="0.25">
      <c r="A736" s="318" t="s">
        <v>481</v>
      </c>
      <c r="B736" s="315">
        <v>906</v>
      </c>
      <c r="C736" s="319" t="s">
        <v>279</v>
      </c>
      <c r="D736" s="319" t="s">
        <v>279</v>
      </c>
      <c r="E736" s="319"/>
      <c r="F736" s="319"/>
      <c r="G736" s="317">
        <f>G737</f>
        <v>5804.9</v>
      </c>
      <c r="H736" s="317">
        <f>H737</f>
        <v>5804.9</v>
      </c>
      <c r="I736" s="211"/>
    </row>
    <row r="737" spans="1:9" ht="47.25" x14ac:dyDescent="0.25">
      <c r="A737" s="318" t="s">
        <v>1423</v>
      </c>
      <c r="B737" s="315">
        <v>906</v>
      </c>
      <c r="C737" s="319" t="s">
        <v>279</v>
      </c>
      <c r="D737" s="319" t="s">
        <v>279</v>
      </c>
      <c r="E737" s="319" t="s">
        <v>421</v>
      </c>
      <c r="F737" s="319"/>
      <c r="G737" s="317">
        <f t="shared" ref="G737:H737" si="57">G738</f>
        <v>5804.9</v>
      </c>
      <c r="H737" s="317">
        <f t="shared" si="57"/>
        <v>5804.9</v>
      </c>
      <c r="I737" s="211"/>
    </row>
    <row r="738" spans="1:9" ht="31.5" x14ac:dyDescent="0.25">
      <c r="A738" s="318" t="s">
        <v>482</v>
      </c>
      <c r="B738" s="315">
        <v>906</v>
      </c>
      <c r="C738" s="319" t="s">
        <v>279</v>
      </c>
      <c r="D738" s="319" t="s">
        <v>483</v>
      </c>
      <c r="E738" s="319" t="s">
        <v>484</v>
      </c>
      <c r="F738" s="319"/>
      <c r="G738" s="317">
        <f>G739</f>
        <v>5804.9</v>
      </c>
      <c r="H738" s="317">
        <f>H739</f>
        <v>5804.9</v>
      </c>
      <c r="I738" s="211"/>
    </row>
    <row r="739" spans="1:9" ht="31.5" x14ac:dyDescent="0.25">
      <c r="A739" s="318" t="s">
        <v>1054</v>
      </c>
      <c r="B739" s="315">
        <v>906</v>
      </c>
      <c r="C739" s="319" t="s">
        <v>279</v>
      </c>
      <c r="D739" s="319" t="s">
        <v>279</v>
      </c>
      <c r="E739" s="319" t="s">
        <v>1055</v>
      </c>
      <c r="F739" s="319"/>
      <c r="G739" s="317">
        <f>G740+G743</f>
        <v>5804.9</v>
      </c>
      <c r="H739" s="317">
        <f>H740+H743</f>
        <v>5804.9</v>
      </c>
      <c r="I739" s="211"/>
    </row>
    <row r="740" spans="1:9" ht="31.5" x14ac:dyDescent="0.25">
      <c r="A740" s="31" t="s">
        <v>1233</v>
      </c>
      <c r="B740" s="314">
        <v>906</v>
      </c>
      <c r="C740" s="316" t="s">
        <v>279</v>
      </c>
      <c r="D740" s="316" t="s">
        <v>279</v>
      </c>
      <c r="E740" s="316" t="s">
        <v>1056</v>
      </c>
      <c r="F740" s="316"/>
      <c r="G740" s="321">
        <f>G741</f>
        <v>3584</v>
      </c>
      <c r="H740" s="321">
        <f>H741</f>
        <v>3584</v>
      </c>
      <c r="I740" s="211"/>
    </row>
    <row r="741" spans="1:9" ht="31.5" x14ac:dyDescent="0.25">
      <c r="A741" s="320" t="s">
        <v>287</v>
      </c>
      <c r="B741" s="314">
        <v>906</v>
      </c>
      <c r="C741" s="316" t="s">
        <v>279</v>
      </c>
      <c r="D741" s="316" t="s">
        <v>279</v>
      </c>
      <c r="E741" s="316" t="s">
        <v>1056</v>
      </c>
      <c r="F741" s="316" t="s">
        <v>288</v>
      </c>
      <c r="G741" s="321">
        <f>G742</f>
        <v>3584</v>
      </c>
      <c r="H741" s="321">
        <f>H742</f>
        <v>3584</v>
      </c>
      <c r="I741" s="211"/>
    </row>
    <row r="742" spans="1:9" ht="15.75" x14ac:dyDescent="0.25">
      <c r="A742" s="320" t="s">
        <v>289</v>
      </c>
      <c r="B742" s="314">
        <v>906</v>
      </c>
      <c r="C742" s="316" t="s">
        <v>279</v>
      </c>
      <c r="D742" s="316" t="s">
        <v>279</v>
      </c>
      <c r="E742" s="316" t="s">
        <v>1056</v>
      </c>
      <c r="F742" s="316" t="s">
        <v>290</v>
      </c>
      <c r="G742" s="321">
        <f>3584</f>
        <v>3584</v>
      </c>
      <c r="H742" s="321">
        <f t="shared" si="54"/>
        <v>3584</v>
      </c>
      <c r="I742" s="211"/>
    </row>
    <row r="743" spans="1:9" ht="31.5" x14ac:dyDescent="0.25">
      <c r="A743" s="31" t="s">
        <v>1447</v>
      </c>
      <c r="B743" s="314">
        <v>906</v>
      </c>
      <c r="C743" s="316" t="s">
        <v>279</v>
      </c>
      <c r="D743" s="316" t="s">
        <v>279</v>
      </c>
      <c r="E743" s="316" t="s">
        <v>1057</v>
      </c>
      <c r="F743" s="316"/>
      <c r="G743" s="321">
        <f>G744</f>
        <v>2220.9</v>
      </c>
      <c r="H743" s="321">
        <f>H744</f>
        <v>2220.9</v>
      </c>
      <c r="I743" s="211"/>
    </row>
    <row r="744" spans="1:9" ht="31.5" x14ac:dyDescent="0.25">
      <c r="A744" s="320" t="s">
        <v>287</v>
      </c>
      <c r="B744" s="314">
        <v>906</v>
      </c>
      <c r="C744" s="316" t="s">
        <v>279</v>
      </c>
      <c r="D744" s="316" t="s">
        <v>279</v>
      </c>
      <c r="E744" s="316" t="s">
        <v>1057</v>
      </c>
      <c r="F744" s="316" t="s">
        <v>288</v>
      </c>
      <c r="G744" s="321">
        <f>G745</f>
        <v>2220.9</v>
      </c>
      <c r="H744" s="321">
        <f>H745</f>
        <v>2220.9</v>
      </c>
      <c r="I744" s="211"/>
    </row>
    <row r="745" spans="1:9" ht="15.75" x14ac:dyDescent="0.25">
      <c r="A745" s="320" t="s">
        <v>289</v>
      </c>
      <c r="B745" s="314">
        <v>906</v>
      </c>
      <c r="C745" s="316" t="s">
        <v>279</v>
      </c>
      <c r="D745" s="316" t="s">
        <v>279</v>
      </c>
      <c r="E745" s="316" t="s">
        <v>1057</v>
      </c>
      <c r="F745" s="316" t="s">
        <v>290</v>
      </c>
      <c r="G745" s="321">
        <v>2220.9</v>
      </c>
      <c r="H745" s="321">
        <f t="shared" si="54"/>
        <v>2220.9</v>
      </c>
      <c r="I745" s="211"/>
    </row>
    <row r="746" spans="1:9" ht="15.75" x14ac:dyDescent="0.25">
      <c r="A746" s="318" t="s">
        <v>310</v>
      </c>
      <c r="B746" s="315">
        <v>906</v>
      </c>
      <c r="C746" s="319" t="s">
        <v>279</v>
      </c>
      <c r="D746" s="319" t="s">
        <v>234</v>
      </c>
      <c r="E746" s="319"/>
      <c r="F746" s="319"/>
      <c r="G746" s="317">
        <f>G747+G757</f>
        <v>19830</v>
      </c>
      <c r="H746" s="317">
        <f>H747+H757</f>
        <v>19830</v>
      </c>
      <c r="I746" s="211"/>
    </row>
    <row r="747" spans="1:9" ht="31.5" x14ac:dyDescent="0.25">
      <c r="A747" s="318" t="s">
        <v>988</v>
      </c>
      <c r="B747" s="315">
        <v>906</v>
      </c>
      <c r="C747" s="319" t="s">
        <v>279</v>
      </c>
      <c r="D747" s="319" t="s">
        <v>234</v>
      </c>
      <c r="E747" s="319" t="s">
        <v>902</v>
      </c>
      <c r="F747" s="319"/>
      <c r="G747" s="317">
        <f>G748</f>
        <v>5585</v>
      </c>
      <c r="H747" s="317">
        <f>H748</f>
        <v>5585</v>
      </c>
      <c r="I747" s="211"/>
    </row>
    <row r="748" spans="1:9" ht="15.75" x14ac:dyDescent="0.25">
      <c r="A748" s="318" t="s">
        <v>989</v>
      </c>
      <c r="B748" s="315">
        <v>906</v>
      </c>
      <c r="C748" s="319" t="s">
        <v>279</v>
      </c>
      <c r="D748" s="319" t="s">
        <v>234</v>
      </c>
      <c r="E748" s="319" t="s">
        <v>903</v>
      </c>
      <c r="F748" s="319"/>
      <c r="G748" s="317">
        <f>G749+G754</f>
        <v>5585</v>
      </c>
      <c r="H748" s="317">
        <f>H749+H754</f>
        <v>5585</v>
      </c>
      <c r="I748" s="211"/>
    </row>
    <row r="749" spans="1:9" ht="31.5" x14ac:dyDescent="0.25">
      <c r="A749" s="320" t="s">
        <v>965</v>
      </c>
      <c r="B749" s="314">
        <v>906</v>
      </c>
      <c r="C749" s="316" t="s">
        <v>279</v>
      </c>
      <c r="D749" s="316" t="s">
        <v>234</v>
      </c>
      <c r="E749" s="316" t="s">
        <v>904</v>
      </c>
      <c r="F749" s="316"/>
      <c r="G749" s="321">
        <f>G750+G752</f>
        <v>5459</v>
      </c>
      <c r="H749" s="321">
        <f>H750+H752</f>
        <v>5459</v>
      </c>
      <c r="I749" s="211"/>
    </row>
    <row r="750" spans="1:9" ht="78.75" x14ac:dyDescent="0.25">
      <c r="A750" s="320" t="s">
        <v>142</v>
      </c>
      <c r="B750" s="314">
        <v>906</v>
      </c>
      <c r="C750" s="316" t="s">
        <v>279</v>
      </c>
      <c r="D750" s="316" t="s">
        <v>234</v>
      </c>
      <c r="E750" s="316" t="s">
        <v>904</v>
      </c>
      <c r="F750" s="316" t="s">
        <v>143</v>
      </c>
      <c r="G750" s="321">
        <f>G751</f>
        <v>5247</v>
      </c>
      <c r="H750" s="321">
        <f>H751</f>
        <v>5247</v>
      </c>
      <c r="I750" s="211"/>
    </row>
    <row r="751" spans="1:9" ht="31.5" x14ac:dyDescent="0.25">
      <c r="A751" s="320" t="s">
        <v>144</v>
      </c>
      <c r="B751" s="314">
        <v>906</v>
      </c>
      <c r="C751" s="316" t="s">
        <v>279</v>
      </c>
      <c r="D751" s="316" t="s">
        <v>234</v>
      </c>
      <c r="E751" s="316" t="s">
        <v>904</v>
      </c>
      <c r="F751" s="316" t="s">
        <v>145</v>
      </c>
      <c r="G751" s="321">
        <f>5247</f>
        <v>5247</v>
      </c>
      <c r="H751" s="321">
        <f t="shared" si="54"/>
        <v>5247</v>
      </c>
      <c r="I751" s="211"/>
    </row>
    <row r="752" spans="1:9" ht="31.5" x14ac:dyDescent="0.25">
      <c r="A752" s="320" t="s">
        <v>146</v>
      </c>
      <c r="B752" s="314">
        <v>906</v>
      </c>
      <c r="C752" s="316" t="s">
        <v>279</v>
      </c>
      <c r="D752" s="316" t="s">
        <v>234</v>
      </c>
      <c r="E752" s="316" t="s">
        <v>904</v>
      </c>
      <c r="F752" s="316" t="s">
        <v>147</v>
      </c>
      <c r="G752" s="321">
        <f>G753</f>
        <v>212</v>
      </c>
      <c r="H752" s="321">
        <f>H753</f>
        <v>212</v>
      </c>
      <c r="I752" s="211"/>
    </row>
    <row r="753" spans="1:9" ht="31.5" x14ac:dyDescent="0.25">
      <c r="A753" s="320" t="s">
        <v>148</v>
      </c>
      <c r="B753" s="314">
        <v>906</v>
      </c>
      <c r="C753" s="316" t="s">
        <v>279</v>
      </c>
      <c r="D753" s="316" t="s">
        <v>234</v>
      </c>
      <c r="E753" s="316" t="s">
        <v>904</v>
      </c>
      <c r="F753" s="316" t="s">
        <v>149</v>
      </c>
      <c r="G753" s="321">
        <f>212</f>
        <v>212</v>
      </c>
      <c r="H753" s="321">
        <f t="shared" si="54"/>
        <v>212</v>
      </c>
      <c r="I753" s="211"/>
    </row>
    <row r="754" spans="1:9" ht="47.25" x14ac:dyDescent="0.25">
      <c r="A754" s="320" t="s">
        <v>883</v>
      </c>
      <c r="B754" s="314">
        <v>906</v>
      </c>
      <c r="C754" s="316" t="s">
        <v>279</v>
      </c>
      <c r="D754" s="316" t="s">
        <v>234</v>
      </c>
      <c r="E754" s="316" t="s">
        <v>906</v>
      </c>
      <c r="F754" s="316"/>
      <c r="G754" s="321">
        <f>G755</f>
        <v>126</v>
      </c>
      <c r="H754" s="321">
        <f>H755</f>
        <v>126</v>
      </c>
      <c r="I754" s="211"/>
    </row>
    <row r="755" spans="1:9" ht="78.75" x14ac:dyDescent="0.25">
      <c r="A755" s="320" t="s">
        <v>142</v>
      </c>
      <c r="B755" s="314">
        <v>906</v>
      </c>
      <c r="C755" s="316" t="s">
        <v>279</v>
      </c>
      <c r="D755" s="316" t="s">
        <v>234</v>
      </c>
      <c r="E755" s="316" t="s">
        <v>906</v>
      </c>
      <c r="F755" s="316" t="s">
        <v>143</v>
      </c>
      <c r="G755" s="321">
        <f>G756</f>
        <v>126</v>
      </c>
      <c r="H755" s="321">
        <f>H756</f>
        <v>126</v>
      </c>
      <c r="I755" s="211"/>
    </row>
    <row r="756" spans="1:9" ht="31.5" x14ac:dyDescent="0.25">
      <c r="A756" s="320" t="s">
        <v>144</v>
      </c>
      <c r="B756" s="314">
        <v>906</v>
      </c>
      <c r="C756" s="316" t="s">
        <v>279</v>
      </c>
      <c r="D756" s="316" t="s">
        <v>234</v>
      </c>
      <c r="E756" s="316" t="s">
        <v>906</v>
      </c>
      <c r="F756" s="316" t="s">
        <v>145</v>
      </c>
      <c r="G756" s="321">
        <f>126</f>
        <v>126</v>
      </c>
      <c r="H756" s="321">
        <f t="shared" si="54"/>
        <v>126</v>
      </c>
      <c r="I756" s="211"/>
    </row>
    <row r="757" spans="1:9" ht="15.75" x14ac:dyDescent="0.25">
      <c r="A757" s="318" t="s">
        <v>156</v>
      </c>
      <c r="B757" s="315">
        <v>906</v>
      </c>
      <c r="C757" s="319" t="s">
        <v>279</v>
      </c>
      <c r="D757" s="319" t="s">
        <v>234</v>
      </c>
      <c r="E757" s="319" t="s">
        <v>910</v>
      </c>
      <c r="F757" s="319"/>
      <c r="G757" s="317">
        <f>G758+G762</f>
        <v>14245</v>
      </c>
      <c r="H757" s="317">
        <f>H758+H762</f>
        <v>14245</v>
      </c>
      <c r="I757" s="211"/>
    </row>
    <row r="758" spans="1:9" ht="31.5" x14ac:dyDescent="0.25">
      <c r="A758" s="318" t="s">
        <v>914</v>
      </c>
      <c r="B758" s="315">
        <v>906</v>
      </c>
      <c r="C758" s="319" t="s">
        <v>279</v>
      </c>
      <c r="D758" s="319" t="s">
        <v>234</v>
      </c>
      <c r="E758" s="319" t="s">
        <v>909</v>
      </c>
      <c r="F758" s="319"/>
      <c r="G758" s="317">
        <f t="shared" ref="G758:H760" si="58">G759</f>
        <v>300</v>
      </c>
      <c r="H758" s="317">
        <f t="shared" si="58"/>
        <v>300</v>
      </c>
      <c r="I758" s="211"/>
    </row>
    <row r="759" spans="1:9" ht="15.75" x14ac:dyDescent="0.25">
      <c r="A759" s="320" t="s">
        <v>493</v>
      </c>
      <c r="B759" s="314">
        <v>906</v>
      </c>
      <c r="C759" s="316" t="s">
        <v>279</v>
      </c>
      <c r="D759" s="316" t="s">
        <v>234</v>
      </c>
      <c r="E759" s="316" t="s">
        <v>1058</v>
      </c>
      <c r="F759" s="316"/>
      <c r="G759" s="321">
        <f t="shared" si="58"/>
        <v>300</v>
      </c>
      <c r="H759" s="321">
        <f t="shared" si="58"/>
        <v>300</v>
      </c>
      <c r="I759" s="211"/>
    </row>
    <row r="760" spans="1:9" ht="31.5" x14ac:dyDescent="0.25">
      <c r="A760" s="320" t="s">
        <v>146</v>
      </c>
      <c r="B760" s="314">
        <v>906</v>
      </c>
      <c r="C760" s="316" t="s">
        <v>279</v>
      </c>
      <c r="D760" s="316" t="s">
        <v>234</v>
      </c>
      <c r="E760" s="316" t="s">
        <v>1058</v>
      </c>
      <c r="F760" s="316" t="s">
        <v>147</v>
      </c>
      <c r="G760" s="321">
        <f t="shared" si="58"/>
        <v>300</v>
      </c>
      <c r="H760" s="321">
        <f t="shared" si="58"/>
        <v>300</v>
      </c>
      <c r="I760" s="211"/>
    </row>
    <row r="761" spans="1:9" ht="31.5" x14ac:dyDescent="0.25">
      <c r="A761" s="320" t="s">
        <v>148</v>
      </c>
      <c r="B761" s="314">
        <v>906</v>
      </c>
      <c r="C761" s="316" t="s">
        <v>279</v>
      </c>
      <c r="D761" s="316" t="s">
        <v>234</v>
      </c>
      <c r="E761" s="316" t="s">
        <v>1058</v>
      </c>
      <c r="F761" s="316" t="s">
        <v>149</v>
      </c>
      <c r="G761" s="321">
        <f>300</f>
        <v>300</v>
      </c>
      <c r="H761" s="321">
        <f t="shared" si="54"/>
        <v>300</v>
      </c>
      <c r="I761" s="211"/>
    </row>
    <row r="762" spans="1:9" ht="31.5" x14ac:dyDescent="0.25">
      <c r="A762" s="318" t="s">
        <v>1000</v>
      </c>
      <c r="B762" s="315">
        <v>906</v>
      </c>
      <c r="C762" s="319" t="s">
        <v>279</v>
      </c>
      <c r="D762" s="319" t="s">
        <v>234</v>
      </c>
      <c r="E762" s="319" t="s">
        <v>985</v>
      </c>
      <c r="F762" s="319"/>
      <c r="G762" s="317">
        <f>G763+G770</f>
        <v>13945</v>
      </c>
      <c r="H762" s="317">
        <f>H763+H770</f>
        <v>13945</v>
      </c>
      <c r="I762" s="211"/>
    </row>
    <row r="763" spans="1:9" ht="31.5" x14ac:dyDescent="0.25">
      <c r="A763" s="320" t="s">
        <v>1276</v>
      </c>
      <c r="B763" s="314">
        <v>906</v>
      </c>
      <c r="C763" s="316" t="s">
        <v>279</v>
      </c>
      <c r="D763" s="316" t="s">
        <v>234</v>
      </c>
      <c r="E763" s="316" t="s">
        <v>986</v>
      </c>
      <c r="F763" s="316"/>
      <c r="G763" s="321">
        <f>G764+G766+G768</f>
        <v>13609</v>
      </c>
      <c r="H763" s="321">
        <f>H764+H766+H768</f>
        <v>13609</v>
      </c>
      <c r="I763" s="211"/>
    </row>
    <row r="764" spans="1:9" ht="78.75" x14ac:dyDescent="0.25">
      <c r="A764" s="320" t="s">
        <v>142</v>
      </c>
      <c r="B764" s="314">
        <v>906</v>
      </c>
      <c r="C764" s="316" t="s">
        <v>279</v>
      </c>
      <c r="D764" s="316" t="s">
        <v>234</v>
      </c>
      <c r="E764" s="316" t="s">
        <v>986</v>
      </c>
      <c r="F764" s="316" t="s">
        <v>143</v>
      </c>
      <c r="G764" s="321">
        <f>G765</f>
        <v>12517</v>
      </c>
      <c r="H764" s="321">
        <f t="shared" si="54"/>
        <v>12517</v>
      </c>
      <c r="I764" s="211"/>
    </row>
    <row r="765" spans="1:9" ht="31.5" x14ac:dyDescent="0.25">
      <c r="A765" s="320" t="s">
        <v>357</v>
      </c>
      <c r="B765" s="314">
        <v>906</v>
      </c>
      <c r="C765" s="316" t="s">
        <v>279</v>
      </c>
      <c r="D765" s="316" t="s">
        <v>234</v>
      </c>
      <c r="E765" s="316" t="s">
        <v>986</v>
      </c>
      <c r="F765" s="316" t="s">
        <v>224</v>
      </c>
      <c r="G765" s="321">
        <f>12517</f>
        <v>12517</v>
      </c>
      <c r="H765" s="321">
        <f t="shared" si="54"/>
        <v>12517</v>
      </c>
      <c r="I765" s="211"/>
    </row>
    <row r="766" spans="1:9" ht="31.5" x14ac:dyDescent="0.25">
      <c r="A766" s="320" t="s">
        <v>146</v>
      </c>
      <c r="B766" s="314">
        <v>906</v>
      </c>
      <c r="C766" s="316" t="s">
        <v>279</v>
      </c>
      <c r="D766" s="316" t="s">
        <v>234</v>
      </c>
      <c r="E766" s="316" t="s">
        <v>986</v>
      </c>
      <c r="F766" s="316" t="s">
        <v>147</v>
      </c>
      <c r="G766" s="321">
        <f>G767</f>
        <v>1077</v>
      </c>
      <c r="H766" s="321">
        <f t="shared" si="54"/>
        <v>1077</v>
      </c>
      <c r="I766" s="211"/>
    </row>
    <row r="767" spans="1:9" ht="31.5" x14ac:dyDescent="0.25">
      <c r="A767" s="320" t="s">
        <v>148</v>
      </c>
      <c r="B767" s="314">
        <v>906</v>
      </c>
      <c r="C767" s="316" t="s">
        <v>279</v>
      </c>
      <c r="D767" s="316" t="s">
        <v>234</v>
      </c>
      <c r="E767" s="316" t="s">
        <v>986</v>
      </c>
      <c r="F767" s="316" t="s">
        <v>149</v>
      </c>
      <c r="G767" s="321">
        <f>1077</f>
        <v>1077</v>
      </c>
      <c r="H767" s="321">
        <f t="shared" si="54"/>
        <v>1077</v>
      </c>
      <c r="I767" s="211"/>
    </row>
    <row r="768" spans="1:9" ht="15.75" x14ac:dyDescent="0.25">
      <c r="A768" s="320" t="s">
        <v>150</v>
      </c>
      <c r="B768" s="314">
        <v>906</v>
      </c>
      <c r="C768" s="316" t="s">
        <v>279</v>
      </c>
      <c r="D768" s="316" t="s">
        <v>234</v>
      </c>
      <c r="E768" s="316" t="s">
        <v>986</v>
      </c>
      <c r="F768" s="316" t="s">
        <v>160</v>
      </c>
      <c r="G768" s="321">
        <f>G769</f>
        <v>15</v>
      </c>
      <c r="H768" s="321">
        <f t="shared" si="54"/>
        <v>15</v>
      </c>
      <c r="I768" s="211"/>
    </row>
    <row r="769" spans="1:9" ht="15.75" x14ac:dyDescent="0.25">
      <c r="A769" s="320" t="s">
        <v>583</v>
      </c>
      <c r="B769" s="314">
        <v>906</v>
      </c>
      <c r="C769" s="316" t="s">
        <v>279</v>
      </c>
      <c r="D769" s="316" t="s">
        <v>234</v>
      </c>
      <c r="E769" s="316" t="s">
        <v>986</v>
      </c>
      <c r="F769" s="316" t="s">
        <v>153</v>
      </c>
      <c r="G769" s="321">
        <f>15</f>
        <v>15</v>
      </c>
      <c r="H769" s="321">
        <f t="shared" si="54"/>
        <v>15</v>
      </c>
      <c r="I769" s="211"/>
    </row>
    <row r="770" spans="1:9" ht="47.25" x14ac:dyDescent="0.25">
      <c r="A770" s="320" t="s">
        <v>883</v>
      </c>
      <c r="B770" s="314">
        <v>906</v>
      </c>
      <c r="C770" s="316" t="s">
        <v>279</v>
      </c>
      <c r="D770" s="316" t="s">
        <v>234</v>
      </c>
      <c r="E770" s="316" t="s">
        <v>987</v>
      </c>
      <c r="F770" s="316"/>
      <c r="G770" s="321">
        <f>G771</f>
        <v>336</v>
      </c>
      <c r="H770" s="321">
        <f>H771</f>
        <v>336</v>
      </c>
      <c r="I770" s="211"/>
    </row>
    <row r="771" spans="1:9" ht="78.75" x14ac:dyDescent="0.25">
      <c r="A771" s="320" t="s">
        <v>142</v>
      </c>
      <c r="B771" s="314">
        <v>906</v>
      </c>
      <c r="C771" s="316" t="s">
        <v>279</v>
      </c>
      <c r="D771" s="316" t="s">
        <v>234</v>
      </c>
      <c r="E771" s="316" t="s">
        <v>987</v>
      </c>
      <c r="F771" s="316" t="s">
        <v>143</v>
      </c>
      <c r="G771" s="321">
        <f>G772</f>
        <v>336</v>
      </c>
      <c r="H771" s="321">
        <f>H772</f>
        <v>336</v>
      </c>
      <c r="I771" s="211"/>
    </row>
    <row r="772" spans="1:9" ht="31.5" x14ac:dyDescent="0.25">
      <c r="A772" s="320" t="s">
        <v>357</v>
      </c>
      <c r="B772" s="314">
        <v>906</v>
      </c>
      <c r="C772" s="316" t="s">
        <v>279</v>
      </c>
      <c r="D772" s="316" t="s">
        <v>234</v>
      </c>
      <c r="E772" s="316" t="s">
        <v>987</v>
      </c>
      <c r="F772" s="316" t="s">
        <v>224</v>
      </c>
      <c r="G772" s="321">
        <f>336</f>
        <v>336</v>
      </c>
      <c r="H772" s="321">
        <f t="shared" si="54"/>
        <v>336</v>
      </c>
      <c r="I772" s="211"/>
    </row>
    <row r="773" spans="1:9" ht="31.5" x14ac:dyDescent="0.25">
      <c r="A773" s="315" t="s">
        <v>495</v>
      </c>
      <c r="B773" s="315">
        <v>907</v>
      </c>
      <c r="C773" s="316"/>
      <c r="D773" s="316"/>
      <c r="E773" s="316"/>
      <c r="F773" s="316"/>
      <c r="G773" s="317">
        <f>G781+G774</f>
        <v>58553.599999999999</v>
      </c>
      <c r="H773" s="317">
        <f>H781+H774</f>
        <v>58553.599999999999</v>
      </c>
      <c r="I773" s="211"/>
    </row>
    <row r="774" spans="1:9" s="210" customFormat="1" ht="15.75" x14ac:dyDescent="0.25">
      <c r="A774" s="318" t="s">
        <v>132</v>
      </c>
      <c r="B774" s="315">
        <v>907</v>
      </c>
      <c r="C774" s="319" t="s">
        <v>133</v>
      </c>
      <c r="D774" s="319"/>
      <c r="E774" s="319"/>
      <c r="F774" s="319"/>
      <c r="G774" s="317">
        <f t="shared" ref="G774:H775" si="59">G775</f>
        <v>70</v>
      </c>
      <c r="H774" s="317">
        <f t="shared" si="59"/>
        <v>70</v>
      </c>
      <c r="I774" s="211"/>
    </row>
    <row r="775" spans="1:9" s="210" customFormat="1" ht="15.75" x14ac:dyDescent="0.25">
      <c r="A775" s="34" t="s">
        <v>154</v>
      </c>
      <c r="B775" s="315">
        <v>907</v>
      </c>
      <c r="C775" s="319" t="s">
        <v>133</v>
      </c>
      <c r="D775" s="319" t="s">
        <v>155</v>
      </c>
      <c r="E775" s="319"/>
      <c r="F775" s="319"/>
      <c r="G775" s="317">
        <f t="shared" si="59"/>
        <v>70</v>
      </c>
      <c r="H775" s="317">
        <f t="shared" si="59"/>
        <v>70</v>
      </c>
      <c r="I775" s="211"/>
    </row>
    <row r="776" spans="1:9" s="210" customFormat="1" ht="47.25" x14ac:dyDescent="0.25">
      <c r="A776" s="318" t="s">
        <v>1416</v>
      </c>
      <c r="B776" s="315">
        <v>907</v>
      </c>
      <c r="C776" s="319" t="s">
        <v>133</v>
      </c>
      <c r="D776" s="319" t="s">
        <v>155</v>
      </c>
      <c r="E776" s="319" t="s">
        <v>350</v>
      </c>
      <c r="F776" s="319"/>
      <c r="G776" s="317">
        <f t="shared" ref="G776:H779" si="60">G777</f>
        <v>70</v>
      </c>
      <c r="H776" s="317">
        <f t="shared" si="60"/>
        <v>70</v>
      </c>
      <c r="I776" s="211"/>
    </row>
    <row r="777" spans="1:9" s="210" customFormat="1" ht="31.5" x14ac:dyDescent="0.25">
      <c r="A777" s="218" t="s">
        <v>1223</v>
      </c>
      <c r="B777" s="315">
        <v>907</v>
      </c>
      <c r="C777" s="319" t="s">
        <v>133</v>
      </c>
      <c r="D777" s="319" t="s">
        <v>155</v>
      </c>
      <c r="E777" s="319" t="s">
        <v>1224</v>
      </c>
      <c r="F777" s="319"/>
      <c r="G777" s="317">
        <f t="shared" si="60"/>
        <v>70</v>
      </c>
      <c r="H777" s="317">
        <f t="shared" si="60"/>
        <v>70</v>
      </c>
      <c r="I777" s="211"/>
    </row>
    <row r="778" spans="1:9" s="210" customFormat="1" ht="31.5" x14ac:dyDescent="0.25">
      <c r="A778" s="98" t="s">
        <v>351</v>
      </c>
      <c r="B778" s="314">
        <v>907</v>
      </c>
      <c r="C778" s="316" t="s">
        <v>133</v>
      </c>
      <c r="D778" s="316" t="s">
        <v>155</v>
      </c>
      <c r="E778" s="316" t="s">
        <v>1225</v>
      </c>
      <c r="F778" s="316"/>
      <c r="G778" s="321">
        <f t="shared" si="60"/>
        <v>70</v>
      </c>
      <c r="H778" s="321">
        <f t="shared" si="60"/>
        <v>70</v>
      </c>
      <c r="I778" s="211"/>
    </row>
    <row r="779" spans="1:9" s="210" customFormat="1" ht="31.5" x14ac:dyDescent="0.25">
      <c r="A779" s="320" t="s">
        <v>146</v>
      </c>
      <c r="B779" s="314">
        <v>907</v>
      </c>
      <c r="C779" s="316" t="s">
        <v>133</v>
      </c>
      <c r="D779" s="316" t="s">
        <v>155</v>
      </c>
      <c r="E779" s="316" t="s">
        <v>1225</v>
      </c>
      <c r="F779" s="316" t="s">
        <v>147</v>
      </c>
      <c r="G779" s="321">
        <f t="shared" si="60"/>
        <v>70</v>
      </c>
      <c r="H779" s="321">
        <f t="shared" si="60"/>
        <v>70</v>
      </c>
      <c r="I779" s="211"/>
    </row>
    <row r="780" spans="1:9" s="210" customFormat="1" ht="31.5" x14ac:dyDescent="0.25">
      <c r="A780" s="320" t="s">
        <v>148</v>
      </c>
      <c r="B780" s="314">
        <v>907</v>
      </c>
      <c r="C780" s="316" t="s">
        <v>133</v>
      </c>
      <c r="D780" s="316" t="s">
        <v>155</v>
      </c>
      <c r="E780" s="316" t="s">
        <v>1225</v>
      </c>
      <c r="F780" s="316" t="s">
        <v>149</v>
      </c>
      <c r="G780" s="321">
        <f>70</f>
        <v>70</v>
      </c>
      <c r="H780" s="321">
        <f t="shared" ref="H780" si="61">G780</f>
        <v>70</v>
      </c>
      <c r="I780" s="211"/>
    </row>
    <row r="781" spans="1:9" ht="15.75" x14ac:dyDescent="0.25">
      <c r="A781" s="318" t="s">
        <v>505</v>
      </c>
      <c r="B781" s="315">
        <v>907</v>
      </c>
      <c r="C781" s="319" t="s">
        <v>506</v>
      </c>
      <c r="D781" s="316"/>
      <c r="E781" s="316"/>
      <c r="F781" s="316"/>
      <c r="G781" s="317">
        <f>G782+G821</f>
        <v>58483.6</v>
      </c>
      <c r="H781" s="317">
        <f>H782+H821</f>
        <v>58483.6</v>
      </c>
      <c r="I781" s="211"/>
    </row>
    <row r="782" spans="1:9" ht="15.75" x14ac:dyDescent="0.25">
      <c r="A782" s="318" t="s">
        <v>507</v>
      </c>
      <c r="B782" s="315">
        <v>907</v>
      </c>
      <c r="C782" s="319" t="s">
        <v>506</v>
      </c>
      <c r="D782" s="319" t="s">
        <v>133</v>
      </c>
      <c r="E782" s="316"/>
      <c r="F782" s="316"/>
      <c r="G782" s="317">
        <f>G783+G816</f>
        <v>46727.6</v>
      </c>
      <c r="H782" s="317">
        <f>H783+H816</f>
        <v>46727.6</v>
      </c>
      <c r="I782" s="211"/>
    </row>
    <row r="783" spans="1:9" ht="47.25" x14ac:dyDescent="0.25">
      <c r="A783" s="318" t="s">
        <v>1425</v>
      </c>
      <c r="B783" s="315">
        <v>907</v>
      </c>
      <c r="C783" s="319" t="s">
        <v>506</v>
      </c>
      <c r="D783" s="319" t="s">
        <v>133</v>
      </c>
      <c r="E783" s="319" t="s">
        <v>497</v>
      </c>
      <c r="F783" s="319"/>
      <c r="G783" s="317">
        <f>G784</f>
        <v>46187.5</v>
      </c>
      <c r="H783" s="317">
        <f>H784</f>
        <v>46187.5</v>
      </c>
      <c r="I783" s="211"/>
    </row>
    <row r="784" spans="1:9" ht="47.25" x14ac:dyDescent="0.25">
      <c r="A784" s="318" t="s">
        <v>1424</v>
      </c>
      <c r="B784" s="315">
        <v>907</v>
      </c>
      <c r="C784" s="319" t="s">
        <v>506</v>
      </c>
      <c r="D784" s="319" t="s">
        <v>133</v>
      </c>
      <c r="E784" s="319" t="s">
        <v>509</v>
      </c>
      <c r="F784" s="319"/>
      <c r="G784" s="317">
        <f>G785+G795+G805+G812</f>
        <v>46187.5</v>
      </c>
      <c r="H784" s="317">
        <f>H785+H795+H805+H812</f>
        <v>46187.5</v>
      </c>
      <c r="I784" s="211"/>
    </row>
    <row r="785" spans="1:9" ht="31.5" x14ac:dyDescent="0.25">
      <c r="A785" s="318" t="s">
        <v>1026</v>
      </c>
      <c r="B785" s="315">
        <v>907</v>
      </c>
      <c r="C785" s="319" t="s">
        <v>506</v>
      </c>
      <c r="D785" s="319" t="s">
        <v>133</v>
      </c>
      <c r="E785" s="319" t="s">
        <v>1059</v>
      </c>
      <c r="F785" s="319"/>
      <c r="G785" s="317">
        <f>G786+G789+G792</f>
        <v>44582</v>
      </c>
      <c r="H785" s="317">
        <f>H786+H789+H792</f>
        <v>44582</v>
      </c>
      <c r="I785" s="211"/>
    </row>
    <row r="786" spans="1:9" ht="47.25" x14ac:dyDescent="0.25">
      <c r="A786" s="320" t="s">
        <v>835</v>
      </c>
      <c r="B786" s="314">
        <v>907</v>
      </c>
      <c r="C786" s="316" t="s">
        <v>506</v>
      </c>
      <c r="D786" s="316" t="s">
        <v>133</v>
      </c>
      <c r="E786" s="316" t="s">
        <v>1069</v>
      </c>
      <c r="F786" s="316"/>
      <c r="G786" s="321">
        <f>G787</f>
        <v>13108</v>
      </c>
      <c r="H786" s="321">
        <f>H787</f>
        <v>13108</v>
      </c>
      <c r="I786" s="211"/>
    </row>
    <row r="787" spans="1:9" ht="31.5" x14ac:dyDescent="0.25">
      <c r="A787" s="320" t="s">
        <v>287</v>
      </c>
      <c r="B787" s="314">
        <v>907</v>
      </c>
      <c r="C787" s="316" t="s">
        <v>506</v>
      </c>
      <c r="D787" s="316" t="s">
        <v>133</v>
      </c>
      <c r="E787" s="316" t="s">
        <v>1069</v>
      </c>
      <c r="F787" s="316" t="s">
        <v>288</v>
      </c>
      <c r="G787" s="321">
        <f>G788</f>
        <v>13108</v>
      </c>
      <c r="H787" s="321">
        <f>H788</f>
        <v>13108</v>
      </c>
      <c r="I787" s="211"/>
    </row>
    <row r="788" spans="1:9" ht="15.75" x14ac:dyDescent="0.25">
      <c r="A788" s="320" t="s">
        <v>289</v>
      </c>
      <c r="B788" s="314">
        <v>907</v>
      </c>
      <c r="C788" s="316" t="s">
        <v>506</v>
      </c>
      <c r="D788" s="316" t="s">
        <v>133</v>
      </c>
      <c r="E788" s="316" t="s">
        <v>1069</v>
      </c>
      <c r="F788" s="316" t="s">
        <v>290</v>
      </c>
      <c r="G788" s="321">
        <f>13108</f>
        <v>13108</v>
      </c>
      <c r="H788" s="321">
        <f t="shared" si="54"/>
        <v>13108</v>
      </c>
      <c r="I788" s="211"/>
    </row>
    <row r="789" spans="1:9" ht="47.25" x14ac:dyDescent="0.25">
      <c r="A789" s="320" t="s">
        <v>856</v>
      </c>
      <c r="B789" s="314">
        <v>907</v>
      </c>
      <c r="C789" s="316" t="s">
        <v>506</v>
      </c>
      <c r="D789" s="316" t="s">
        <v>133</v>
      </c>
      <c r="E789" s="316" t="s">
        <v>1070</v>
      </c>
      <c r="F789" s="316"/>
      <c r="G789" s="321">
        <f>G790</f>
        <v>12897</v>
      </c>
      <c r="H789" s="321">
        <f>H790</f>
        <v>12897</v>
      </c>
      <c r="I789" s="211"/>
    </row>
    <row r="790" spans="1:9" ht="31.5" x14ac:dyDescent="0.25">
      <c r="A790" s="320" t="s">
        <v>287</v>
      </c>
      <c r="B790" s="314">
        <v>907</v>
      </c>
      <c r="C790" s="316" t="s">
        <v>506</v>
      </c>
      <c r="D790" s="316" t="s">
        <v>133</v>
      </c>
      <c r="E790" s="316" t="s">
        <v>1070</v>
      </c>
      <c r="F790" s="316" t="s">
        <v>288</v>
      </c>
      <c r="G790" s="321">
        <f>G791</f>
        <v>12897</v>
      </c>
      <c r="H790" s="321">
        <f>H791</f>
        <v>12897</v>
      </c>
      <c r="I790" s="211"/>
    </row>
    <row r="791" spans="1:9" ht="15.75" x14ac:dyDescent="0.25">
      <c r="A791" s="320" t="s">
        <v>289</v>
      </c>
      <c r="B791" s="314">
        <v>907</v>
      </c>
      <c r="C791" s="316" t="s">
        <v>506</v>
      </c>
      <c r="D791" s="316" t="s">
        <v>133</v>
      </c>
      <c r="E791" s="316" t="s">
        <v>1070</v>
      </c>
      <c r="F791" s="316" t="s">
        <v>290</v>
      </c>
      <c r="G791" s="321">
        <f>12897</f>
        <v>12897</v>
      </c>
      <c r="H791" s="321">
        <f t="shared" ref="H791:H849" si="62">G791</f>
        <v>12897</v>
      </c>
      <c r="I791" s="211"/>
    </row>
    <row r="792" spans="1:9" ht="47.25" x14ac:dyDescent="0.25">
      <c r="A792" s="320" t="s">
        <v>857</v>
      </c>
      <c r="B792" s="314">
        <v>907</v>
      </c>
      <c r="C792" s="316" t="s">
        <v>506</v>
      </c>
      <c r="D792" s="316" t="s">
        <v>133</v>
      </c>
      <c r="E792" s="316" t="s">
        <v>1071</v>
      </c>
      <c r="F792" s="316"/>
      <c r="G792" s="321">
        <f>G793</f>
        <v>18577</v>
      </c>
      <c r="H792" s="321">
        <f>H793</f>
        <v>18577</v>
      </c>
      <c r="I792" s="211"/>
    </row>
    <row r="793" spans="1:9" ht="31.5" x14ac:dyDescent="0.25">
      <c r="A793" s="320" t="s">
        <v>287</v>
      </c>
      <c r="B793" s="314">
        <v>907</v>
      </c>
      <c r="C793" s="316" t="s">
        <v>506</v>
      </c>
      <c r="D793" s="316" t="s">
        <v>133</v>
      </c>
      <c r="E793" s="316" t="s">
        <v>1071</v>
      </c>
      <c r="F793" s="316" t="s">
        <v>288</v>
      </c>
      <c r="G793" s="321">
        <f>G794</f>
        <v>18577</v>
      </c>
      <c r="H793" s="321">
        <f>H794</f>
        <v>18577</v>
      </c>
      <c r="I793" s="211"/>
    </row>
    <row r="794" spans="1:9" ht="15.75" x14ac:dyDescent="0.25">
      <c r="A794" s="320" t="s">
        <v>289</v>
      </c>
      <c r="B794" s="314">
        <v>907</v>
      </c>
      <c r="C794" s="316" t="s">
        <v>506</v>
      </c>
      <c r="D794" s="316" t="s">
        <v>133</v>
      </c>
      <c r="E794" s="316" t="s">
        <v>1071</v>
      </c>
      <c r="F794" s="316" t="s">
        <v>290</v>
      </c>
      <c r="G794" s="321">
        <f>18577</f>
        <v>18577</v>
      </c>
      <c r="H794" s="321">
        <f t="shared" si="62"/>
        <v>18577</v>
      </c>
      <c r="I794" s="211"/>
    </row>
    <row r="795" spans="1:9" ht="31.5" x14ac:dyDescent="0.25">
      <c r="A795" s="318" t="s">
        <v>1072</v>
      </c>
      <c r="B795" s="315">
        <v>907</v>
      </c>
      <c r="C795" s="319" t="s">
        <v>506</v>
      </c>
      <c r="D795" s="319" t="s">
        <v>133</v>
      </c>
      <c r="E795" s="319" t="s">
        <v>1073</v>
      </c>
      <c r="F795" s="319"/>
      <c r="G795" s="44">
        <f>G796+G799+G802</f>
        <v>36</v>
      </c>
      <c r="H795" s="44">
        <f>H796+H799+H802</f>
        <v>36</v>
      </c>
      <c r="I795" s="211"/>
    </row>
    <row r="796" spans="1:9" ht="31.5" hidden="1" x14ac:dyDescent="0.25">
      <c r="A796" s="320" t="s">
        <v>293</v>
      </c>
      <c r="B796" s="314">
        <v>907</v>
      </c>
      <c r="C796" s="316" t="s">
        <v>506</v>
      </c>
      <c r="D796" s="316" t="s">
        <v>133</v>
      </c>
      <c r="E796" s="316" t="s">
        <v>1077</v>
      </c>
      <c r="F796" s="316"/>
      <c r="G796" s="321">
        <f>G797</f>
        <v>0</v>
      </c>
      <c r="H796" s="321">
        <f t="shared" si="62"/>
        <v>0</v>
      </c>
      <c r="I796" s="211"/>
    </row>
    <row r="797" spans="1:9" ht="31.5" hidden="1" x14ac:dyDescent="0.25">
      <c r="A797" s="320" t="s">
        <v>287</v>
      </c>
      <c r="B797" s="314">
        <v>907</v>
      </c>
      <c r="C797" s="316" t="s">
        <v>506</v>
      </c>
      <c r="D797" s="316" t="s">
        <v>133</v>
      </c>
      <c r="E797" s="316" t="s">
        <v>1077</v>
      </c>
      <c r="F797" s="316" t="s">
        <v>288</v>
      </c>
      <c r="G797" s="321">
        <f>G798</f>
        <v>0</v>
      </c>
      <c r="H797" s="321">
        <f t="shared" si="62"/>
        <v>0</v>
      </c>
      <c r="I797" s="211"/>
    </row>
    <row r="798" spans="1:9" ht="15.75" hidden="1" x14ac:dyDescent="0.25">
      <c r="A798" s="320" t="s">
        <v>289</v>
      </c>
      <c r="B798" s="314">
        <v>907</v>
      </c>
      <c r="C798" s="316" t="s">
        <v>506</v>
      </c>
      <c r="D798" s="316" t="s">
        <v>133</v>
      </c>
      <c r="E798" s="316" t="s">
        <v>1077</v>
      </c>
      <c r="F798" s="316" t="s">
        <v>290</v>
      </c>
      <c r="G798" s="321">
        <v>0</v>
      </c>
      <c r="H798" s="321">
        <f t="shared" si="62"/>
        <v>0</v>
      </c>
      <c r="I798" s="211"/>
    </row>
    <row r="799" spans="1:9" ht="31.5" hidden="1" x14ac:dyDescent="0.25">
      <c r="A799" s="320" t="s">
        <v>295</v>
      </c>
      <c r="B799" s="314">
        <v>907</v>
      </c>
      <c r="C799" s="316" t="s">
        <v>506</v>
      </c>
      <c r="D799" s="316" t="s">
        <v>133</v>
      </c>
      <c r="E799" s="316" t="s">
        <v>1078</v>
      </c>
      <c r="F799" s="316"/>
      <c r="G799" s="321">
        <f>'Пр.4 ведом.20'!G879</f>
        <v>0</v>
      </c>
      <c r="H799" s="321">
        <f t="shared" si="62"/>
        <v>0</v>
      </c>
      <c r="I799" s="211"/>
    </row>
    <row r="800" spans="1:9" ht="31.5" hidden="1" x14ac:dyDescent="0.25">
      <c r="A800" s="320" t="s">
        <v>287</v>
      </c>
      <c r="B800" s="314">
        <v>907</v>
      </c>
      <c r="C800" s="316" t="s">
        <v>506</v>
      </c>
      <c r="D800" s="316" t="s">
        <v>133</v>
      </c>
      <c r="E800" s="316" t="s">
        <v>1078</v>
      </c>
      <c r="F800" s="316" t="s">
        <v>288</v>
      </c>
      <c r="G800" s="321">
        <f>'Пр.4 ведом.20'!G880</f>
        <v>0</v>
      </c>
      <c r="H800" s="321">
        <f t="shared" si="62"/>
        <v>0</v>
      </c>
      <c r="I800" s="211"/>
    </row>
    <row r="801" spans="1:9" ht="15.75" hidden="1" x14ac:dyDescent="0.25">
      <c r="A801" s="320" t="s">
        <v>289</v>
      </c>
      <c r="B801" s="314">
        <v>907</v>
      </c>
      <c r="C801" s="316" t="s">
        <v>506</v>
      </c>
      <c r="D801" s="316" t="s">
        <v>133</v>
      </c>
      <c r="E801" s="316" t="s">
        <v>1078</v>
      </c>
      <c r="F801" s="316" t="s">
        <v>290</v>
      </c>
      <c r="G801" s="321">
        <f>'Пр.4 ведом.20'!G881</f>
        <v>0</v>
      </c>
      <c r="H801" s="321">
        <f t="shared" si="62"/>
        <v>0</v>
      </c>
      <c r="I801" s="211"/>
    </row>
    <row r="802" spans="1:9" ht="15.75" x14ac:dyDescent="0.25">
      <c r="A802" s="320" t="s">
        <v>874</v>
      </c>
      <c r="B802" s="314">
        <v>907</v>
      </c>
      <c r="C802" s="316" t="s">
        <v>506</v>
      </c>
      <c r="D802" s="316" t="s">
        <v>133</v>
      </c>
      <c r="E802" s="316" t="s">
        <v>1079</v>
      </c>
      <c r="F802" s="316"/>
      <c r="G802" s="321">
        <f>G803</f>
        <v>36</v>
      </c>
      <c r="H802" s="321">
        <f>H803</f>
        <v>36</v>
      </c>
      <c r="I802" s="211"/>
    </row>
    <row r="803" spans="1:9" ht="31.5" x14ac:dyDescent="0.25">
      <c r="A803" s="320" t="s">
        <v>287</v>
      </c>
      <c r="B803" s="314">
        <v>907</v>
      </c>
      <c r="C803" s="316" t="s">
        <v>506</v>
      </c>
      <c r="D803" s="316" t="s">
        <v>133</v>
      </c>
      <c r="E803" s="316" t="s">
        <v>1079</v>
      </c>
      <c r="F803" s="316" t="s">
        <v>288</v>
      </c>
      <c r="G803" s="321">
        <f>G804</f>
        <v>36</v>
      </c>
      <c r="H803" s="321">
        <f>H804</f>
        <v>36</v>
      </c>
      <c r="I803" s="211"/>
    </row>
    <row r="804" spans="1:9" ht="15.75" x14ac:dyDescent="0.25">
      <c r="A804" s="320" t="s">
        <v>289</v>
      </c>
      <c r="B804" s="314">
        <v>907</v>
      </c>
      <c r="C804" s="316" t="s">
        <v>506</v>
      </c>
      <c r="D804" s="316" t="s">
        <v>133</v>
      </c>
      <c r="E804" s="316" t="s">
        <v>1079</v>
      </c>
      <c r="F804" s="316" t="s">
        <v>290</v>
      </c>
      <c r="G804" s="321">
        <f>36</f>
        <v>36</v>
      </c>
      <c r="H804" s="321">
        <f t="shared" si="62"/>
        <v>36</v>
      </c>
      <c r="I804" s="211"/>
    </row>
    <row r="805" spans="1:9" ht="31.5" x14ac:dyDescent="0.25">
      <c r="A805" s="318" t="s">
        <v>1074</v>
      </c>
      <c r="B805" s="315">
        <v>907</v>
      </c>
      <c r="C805" s="319" t="s">
        <v>506</v>
      </c>
      <c r="D805" s="319" t="s">
        <v>133</v>
      </c>
      <c r="E805" s="319" t="s">
        <v>1076</v>
      </c>
      <c r="F805" s="319"/>
      <c r="G805" s="317">
        <f>G806+G809</f>
        <v>756</v>
      </c>
      <c r="H805" s="317">
        <f>H806+H809</f>
        <v>756</v>
      </c>
      <c r="I805" s="211"/>
    </row>
    <row r="806" spans="1:9" ht="31.5" hidden="1" x14ac:dyDescent="0.25">
      <c r="A806" s="320" t="s">
        <v>815</v>
      </c>
      <c r="B806" s="314">
        <v>907</v>
      </c>
      <c r="C806" s="316" t="s">
        <v>506</v>
      </c>
      <c r="D806" s="316" t="s">
        <v>133</v>
      </c>
      <c r="E806" s="316" t="s">
        <v>1080</v>
      </c>
      <c r="F806" s="316"/>
      <c r="G806" s="321">
        <f>'Пр.4 ведом.20'!G886</f>
        <v>0</v>
      </c>
      <c r="H806" s="321">
        <f t="shared" si="62"/>
        <v>0</v>
      </c>
      <c r="I806" s="211"/>
    </row>
    <row r="807" spans="1:9" ht="31.5" hidden="1" x14ac:dyDescent="0.25">
      <c r="A807" s="320" t="s">
        <v>287</v>
      </c>
      <c r="B807" s="314">
        <v>907</v>
      </c>
      <c r="C807" s="316" t="s">
        <v>506</v>
      </c>
      <c r="D807" s="316" t="s">
        <v>133</v>
      </c>
      <c r="E807" s="316" t="s">
        <v>1080</v>
      </c>
      <c r="F807" s="316" t="s">
        <v>288</v>
      </c>
      <c r="G807" s="321">
        <f>'Пр.4 ведом.20'!G887</f>
        <v>0</v>
      </c>
      <c r="H807" s="321">
        <f t="shared" si="62"/>
        <v>0</v>
      </c>
      <c r="I807" s="211"/>
    </row>
    <row r="808" spans="1:9" ht="15.75" hidden="1" x14ac:dyDescent="0.25">
      <c r="A808" s="320" t="s">
        <v>289</v>
      </c>
      <c r="B808" s="314">
        <v>907</v>
      </c>
      <c r="C808" s="316" t="s">
        <v>506</v>
      </c>
      <c r="D808" s="316" t="s">
        <v>133</v>
      </c>
      <c r="E808" s="316" t="s">
        <v>1080</v>
      </c>
      <c r="F808" s="316" t="s">
        <v>290</v>
      </c>
      <c r="G808" s="321">
        <f>'Пр.4 ведом.20'!G888</f>
        <v>0</v>
      </c>
      <c r="H808" s="321">
        <f t="shared" si="62"/>
        <v>0</v>
      </c>
      <c r="I808" s="211"/>
    </row>
    <row r="809" spans="1:9" ht="31.5" x14ac:dyDescent="0.25">
      <c r="A809" s="45" t="s">
        <v>785</v>
      </c>
      <c r="B809" s="314">
        <v>907</v>
      </c>
      <c r="C809" s="316" t="s">
        <v>506</v>
      </c>
      <c r="D809" s="316" t="s">
        <v>133</v>
      </c>
      <c r="E809" s="316" t="s">
        <v>1081</v>
      </c>
      <c r="F809" s="316"/>
      <c r="G809" s="321">
        <f>G810</f>
        <v>756</v>
      </c>
      <c r="H809" s="321">
        <f>H810</f>
        <v>756</v>
      </c>
      <c r="I809" s="211"/>
    </row>
    <row r="810" spans="1:9" ht="31.5" x14ac:dyDescent="0.25">
      <c r="A810" s="31" t="s">
        <v>287</v>
      </c>
      <c r="B810" s="314">
        <v>907</v>
      </c>
      <c r="C810" s="316" t="s">
        <v>506</v>
      </c>
      <c r="D810" s="316" t="s">
        <v>133</v>
      </c>
      <c r="E810" s="316" t="s">
        <v>1081</v>
      </c>
      <c r="F810" s="316" t="s">
        <v>288</v>
      </c>
      <c r="G810" s="321">
        <f>G811</f>
        <v>756</v>
      </c>
      <c r="H810" s="321">
        <f>H811</f>
        <v>756</v>
      </c>
      <c r="I810" s="211"/>
    </row>
    <row r="811" spans="1:9" ht="15.75" x14ac:dyDescent="0.25">
      <c r="A811" s="31" t="s">
        <v>289</v>
      </c>
      <c r="B811" s="314">
        <v>907</v>
      </c>
      <c r="C811" s="316" t="s">
        <v>506</v>
      </c>
      <c r="D811" s="316" t="s">
        <v>133</v>
      </c>
      <c r="E811" s="316" t="s">
        <v>1081</v>
      </c>
      <c r="F811" s="316" t="s">
        <v>290</v>
      </c>
      <c r="G811" s="321">
        <f>756</f>
        <v>756</v>
      </c>
      <c r="H811" s="321">
        <f t="shared" si="62"/>
        <v>756</v>
      </c>
      <c r="I811" s="211"/>
    </row>
    <row r="812" spans="1:9" ht="47.25" x14ac:dyDescent="0.25">
      <c r="A812" s="318" t="s">
        <v>969</v>
      </c>
      <c r="B812" s="315">
        <v>907</v>
      </c>
      <c r="C812" s="319" t="s">
        <v>506</v>
      </c>
      <c r="D812" s="319" t="s">
        <v>133</v>
      </c>
      <c r="E812" s="319" t="s">
        <v>1082</v>
      </c>
      <c r="F812" s="319"/>
      <c r="G812" s="317">
        <f>G813</f>
        <v>813.5</v>
      </c>
      <c r="H812" s="317">
        <f>H813</f>
        <v>813.5</v>
      </c>
      <c r="I812" s="211"/>
    </row>
    <row r="813" spans="1:9" ht="94.5" x14ac:dyDescent="0.25">
      <c r="A813" s="31" t="s">
        <v>308</v>
      </c>
      <c r="B813" s="314">
        <v>907</v>
      </c>
      <c r="C813" s="316" t="s">
        <v>506</v>
      </c>
      <c r="D813" s="316" t="s">
        <v>133</v>
      </c>
      <c r="E813" s="316" t="s">
        <v>1509</v>
      </c>
      <c r="F813" s="316"/>
      <c r="G813" s="321">
        <f t="shared" ref="G813:H814" si="63">G814</f>
        <v>813.5</v>
      </c>
      <c r="H813" s="321">
        <f t="shared" si="63"/>
        <v>813.5</v>
      </c>
      <c r="I813" s="211"/>
    </row>
    <row r="814" spans="1:9" ht="31.5" x14ac:dyDescent="0.25">
      <c r="A814" s="320" t="s">
        <v>287</v>
      </c>
      <c r="B814" s="314">
        <v>907</v>
      </c>
      <c r="C814" s="316" t="s">
        <v>506</v>
      </c>
      <c r="D814" s="316" t="s">
        <v>133</v>
      </c>
      <c r="E814" s="316" t="s">
        <v>1509</v>
      </c>
      <c r="F814" s="316" t="s">
        <v>288</v>
      </c>
      <c r="G814" s="321">
        <f t="shared" si="63"/>
        <v>813.5</v>
      </c>
      <c r="H814" s="321">
        <f t="shared" si="63"/>
        <v>813.5</v>
      </c>
      <c r="I814" s="211"/>
    </row>
    <row r="815" spans="1:9" ht="15.75" x14ac:dyDescent="0.25">
      <c r="A815" s="320" t="s">
        <v>289</v>
      </c>
      <c r="B815" s="314">
        <v>907</v>
      </c>
      <c r="C815" s="316" t="s">
        <v>506</v>
      </c>
      <c r="D815" s="316" t="s">
        <v>133</v>
      </c>
      <c r="E815" s="316" t="s">
        <v>1509</v>
      </c>
      <c r="F815" s="316" t="s">
        <v>290</v>
      </c>
      <c r="G815" s="321">
        <f>813.5</f>
        <v>813.5</v>
      </c>
      <c r="H815" s="321">
        <f t="shared" si="62"/>
        <v>813.5</v>
      </c>
      <c r="I815" s="268">
        <f>12177.1/11326*870.2</f>
        <v>935.59177291188428</v>
      </c>
    </row>
    <row r="816" spans="1:9" ht="63" x14ac:dyDescent="0.25">
      <c r="A816" s="41" t="s">
        <v>1417</v>
      </c>
      <c r="B816" s="315">
        <v>907</v>
      </c>
      <c r="C816" s="319" t="s">
        <v>506</v>
      </c>
      <c r="D816" s="319" t="s">
        <v>133</v>
      </c>
      <c r="E816" s="319" t="s">
        <v>726</v>
      </c>
      <c r="F816" s="228"/>
      <c r="G816" s="317">
        <f t="shared" ref="G816:H819" si="64">G817</f>
        <v>540.1</v>
      </c>
      <c r="H816" s="317">
        <f t="shared" si="64"/>
        <v>540.1</v>
      </c>
      <c r="I816" s="211"/>
    </row>
    <row r="817" spans="1:9" ht="47.25" x14ac:dyDescent="0.25">
      <c r="A817" s="41" t="s">
        <v>947</v>
      </c>
      <c r="B817" s="315">
        <v>907</v>
      </c>
      <c r="C817" s="319" t="s">
        <v>506</v>
      </c>
      <c r="D817" s="319" t="s">
        <v>133</v>
      </c>
      <c r="E817" s="319" t="s">
        <v>945</v>
      </c>
      <c r="F817" s="228"/>
      <c r="G817" s="317">
        <f t="shared" si="64"/>
        <v>540.1</v>
      </c>
      <c r="H817" s="317">
        <f t="shared" si="64"/>
        <v>540.1</v>
      </c>
      <c r="I817" s="211"/>
    </row>
    <row r="818" spans="1:9" ht="47.25" x14ac:dyDescent="0.25">
      <c r="A818" s="99" t="s">
        <v>801</v>
      </c>
      <c r="B818" s="314">
        <v>907</v>
      </c>
      <c r="C818" s="316" t="s">
        <v>506</v>
      </c>
      <c r="D818" s="316" t="s">
        <v>133</v>
      </c>
      <c r="E818" s="316" t="s">
        <v>1025</v>
      </c>
      <c r="F818" s="32"/>
      <c r="G818" s="321">
        <f t="shared" si="64"/>
        <v>540.1</v>
      </c>
      <c r="H818" s="321">
        <f t="shared" si="64"/>
        <v>540.1</v>
      </c>
      <c r="I818" s="211"/>
    </row>
    <row r="819" spans="1:9" ht="31.5" x14ac:dyDescent="0.25">
      <c r="A819" s="323" t="s">
        <v>287</v>
      </c>
      <c r="B819" s="314">
        <v>907</v>
      </c>
      <c r="C819" s="316" t="s">
        <v>506</v>
      </c>
      <c r="D819" s="316" t="s">
        <v>133</v>
      </c>
      <c r="E819" s="316" t="s">
        <v>1025</v>
      </c>
      <c r="F819" s="32" t="s">
        <v>288</v>
      </c>
      <c r="G819" s="321">
        <f t="shared" si="64"/>
        <v>540.1</v>
      </c>
      <c r="H819" s="321">
        <f t="shared" si="64"/>
        <v>540.1</v>
      </c>
      <c r="I819" s="211"/>
    </row>
    <row r="820" spans="1:9" ht="15.75" x14ac:dyDescent="0.25">
      <c r="A820" s="193" t="s">
        <v>289</v>
      </c>
      <c r="B820" s="314">
        <v>907</v>
      </c>
      <c r="C820" s="316" t="s">
        <v>506</v>
      </c>
      <c r="D820" s="316" t="s">
        <v>133</v>
      </c>
      <c r="E820" s="316" t="s">
        <v>1025</v>
      </c>
      <c r="F820" s="32" t="s">
        <v>290</v>
      </c>
      <c r="G820" s="321">
        <f>540.1</f>
        <v>540.1</v>
      </c>
      <c r="H820" s="321">
        <f t="shared" si="62"/>
        <v>540.1</v>
      </c>
      <c r="I820" s="211"/>
    </row>
    <row r="821" spans="1:9" ht="31.5" x14ac:dyDescent="0.25">
      <c r="A821" s="318" t="s">
        <v>515</v>
      </c>
      <c r="B821" s="315">
        <v>907</v>
      </c>
      <c r="C821" s="319" t="s">
        <v>506</v>
      </c>
      <c r="D821" s="319" t="s">
        <v>249</v>
      </c>
      <c r="E821" s="319"/>
      <c r="F821" s="319"/>
      <c r="G821" s="317">
        <f>G822+G830+G842</f>
        <v>11756</v>
      </c>
      <c r="H821" s="317">
        <f>H822+H830+H842</f>
        <v>11756</v>
      </c>
      <c r="I821" s="211"/>
    </row>
    <row r="822" spans="1:9" ht="31.5" x14ac:dyDescent="0.25">
      <c r="A822" s="318" t="s">
        <v>988</v>
      </c>
      <c r="B822" s="315">
        <v>907</v>
      </c>
      <c r="C822" s="319" t="s">
        <v>506</v>
      </c>
      <c r="D822" s="319" t="s">
        <v>249</v>
      </c>
      <c r="E822" s="319" t="s">
        <v>902</v>
      </c>
      <c r="F822" s="319"/>
      <c r="G822" s="317">
        <f>G823</f>
        <v>4531</v>
      </c>
      <c r="H822" s="317">
        <f>H823</f>
        <v>4531</v>
      </c>
      <c r="I822" s="211"/>
    </row>
    <row r="823" spans="1:9" ht="15.75" x14ac:dyDescent="0.25">
      <c r="A823" s="318" t="s">
        <v>989</v>
      </c>
      <c r="B823" s="315">
        <v>907</v>
      </c>
      <c r="C823" s="319" t="s">
        <v>506</v>
      </c>
      <c r="D823" s="319" t="s">
        <v>249</v>
      </c>
      <c r="E823" s="319" t="s">
        <v>903</v>
      </c>
      <c r="F823" s="319"/>
      <c r="G823" s="317">
        <f>G824+G827</f>
        <v>4531</v>
      </c>
      <c r="H823" s="317">
        <f>H824+H827</f>
        <v>4531</v>
      </c>
      <c r="I823" s="211"/>
    </row>
    <row r="824" spans="1:9" ht="31.5" x14ac:dyDescent="0.25">
      <c r="A824" s="320" t="s">
        <v>965</v>
      </c>
      <c r="B824" s="314">
        <v>907</v>
      </c>
      <c r="C824" s="316" t="s">
        <v>506</v>
      </c>
      <c r="D824" s="316" t="s">
        <v>249</v>
      </c>
      <c r="E824" s="316" t="s">
        <v>904</v>
      </c>
      <c r="F824" s="316"/>
      <c r="G824" s="321">
        <f>G825</f>
        <v>4447</v>
      </c>
      <c r="H824" s="321">
        <f>H825</f>
        <v>4447</v>
      </c>
      <c r="I824" s="211"/>
    </row>
    <row r="825" spans="1:9" ht="78.75" x14ac:dyDescent="0.25">
      <c r="A825" s="320" t="s">
        <v>142</v>
      </c>
      <c r="B825" s="314">
        <v>907</v>
      </c>
      <c r="C825" s="316" t="s">
        <v>506</v>
      </c>
      <c r="D825" s="316" t="s">
        <v>249</v>
      </c>
      <c r="E825" s="316" t="s">
        <v>904</v>
      </c>
      <c r="F825" s="316" t="s">
        <v>143</v>
      </c>
      <c r="G825" s="321">
        <f>G826</f>
        <v>4447</v>
      </c>
      <c r="H825" s="321">
        <f>H826</f>
        <v>4447</v>
      </c>
      <c r="I825" s="211"/>
    </row>
    <row r="826" spans="1:9" ht="31.5" x14ac:dyDescent="0.25">
      <c r="A826" s="320" t="s">
        <v>144</v>
      </c>
      <c r="B826" s="314">
        <v>907</v>
      </c>
      <c r="C826" s="316" t="s">
        <v>506</v>
      </c>
      <c r="D826" s="316" t="s">
        <v>249</v>
      </c>
      <c r="E826" s="316" t="s">
        <v>904</v>
      </c>
      <c r="F826" s="316" t="s">
        <v>145</v>
      </c>
      <c r="G826" s="321">
        <f>4447</f>
        <v>4447</v>
      </c>
      <c r="H826" s="321">
        <f t="shared" si="62"/>
        <v>4447</v>
      </c>
      <c r="I826" s="211"/>
    </row>
    <row r="827" spans="1:9" ht="47.25" x14ac:dyDescent="0.25">
      <c r="A827" s="320" t="s">
        <v>883</v>
      </c>
      <c r="B827" s="314">
        <v>907</v>
      </c>
      <c r="C827" s="316" t="s">
        <v>506</v>
      </c>
      <c r="D827" s="316" t="s">
        <v>249</v>
      </c>
      <c r="E827" s="316" t="s">
        <v>906</v>
      </c>
      <c r="F827" s="316"/>
      <c r="G827" s="321">
        <f>G828</f>
        <v>84</v>
      </c>
      <c r="H827" s="321">
        <f>H828</f>
        <v>84</v>
      </c>
      <c r="I827" s="211"/>
    </row>
    <row r="828" spans="1:9" ht="78.75" x14ac:dyDescent="0.25">
      <c r="A828" s="320" t="s">
        <v>142</v>
      </c>
      <c r="B828" s="314">
        <v>907</v>
      </c>
      <c r="C828" s="316" t="s">
        <v>506</v>
      </c>
      <c r="D828" s="316" t="s">
        <v>249</v>
      </c>
      <c r="E828" s="316" t="s">
        <v>906</v>
      </c>
      <c r="F828" s="316" t="s">
        <v>143</v>
      </c>
      <c r="G828" s="321">
        <f>G829</f>
        <v>84</v>
      </c>
      <c r="H828" s="321">
        <f>H829</f>
        <v>84</v>
      </c>
      <c r="I828" s="211"/>
    </row>
    <row r="829" spans="1:9" ht="31.5" x14ac:dyDescent="0.25">
      <c r="A829" s="320" t="s">
        <v>144</v>
      </c>
      <c r="B829" s="314">
        <v>907</v>
      </c>
      <c r="C829" s="316" t="s">
        <v>506</v>
      </c>
      <c r="D829" s="316" t="s">
        <v>249</v>
      </c>
      <c r="E829" s="316" t="s">
        <v>906</v>
      </c>
      <c r="F829" s="316" t="s">
        <v>145</v>
      </c>
      <c r="G829" s="321">
        <f>84</f>
        <v>84</v>
      </c>
      <c r="H829" s="321">
        <f t="shared" si="62"/>
        <v>84</v>
      </c>
      <c r="I829" s="211"/>
    </row>
    <row r="830" spans="1:9" ht="15.75" x14ac:dyDescent="0.25">
      <c r="A830" s="318" t="s">
        <v>156</v>
      </c>
      <c r="B830" s="315">
        <v>907</v>
      </c>
      <c r="C830" s="319" t="s">
        <v>506</v>
      </c>
      <c r="D830" s="319" t="s">
        <v>249</v>
      </c>
      <c r="E830" s="319" t="s">
        <v>910</v>
      </c>
      <c r="F830" s="319"/>
      <c r="G830" s="317">
        <f>G831</f>
        <v>5225</v>
      </c>
      <c r="H830" s="317">
        <f>H831</f>
        <v>5225</v>
      </c>
      <c r="I830" s="211"/>
    </row>
    <row r="831" spans="1:9" ht="31.5" x14ac:dyDescent="0.25">
      <c r="A831" s="318" t="s">
        <v>1000</v>
      </c>
      <c r="B831" s="315">
        <v>907</v>
      </c>
      <c r="C831" s="319" t="s">
        <v>506</v>
      </c>
      <c r="D831" s="319" t="s">
        <v>249</v>
      </c>
      <c r="E831" s="319" t="s">
        <v>985</v>
      </c>
      <c r="F831" s="319"/>
      <c r="G831" s="317">
        <f>G832+G839</f>
        <v>5225</v>
      </c>
      <c r="H831" s="317">
        <f>H832+H839</f>
        <v>5225</v>
      </c>
      <c r="I831" s="211"/>
    </row>
    <row r="832" spans="1:9" ht="31.5" x14ac:dyDescent="0.25">
      <c r="A832" s="320" t="s">
        <v>972</v>
      </c>
      <c r="B832" s="314">
        <v>907</v>
      </c>
      <c r="C832" s="316" t="s">
        <v>506</v>
      </c>
      <c r="D832" s="316" t="s">
        <v>249</v>
      </c>
      <c r="E832" s="316" t="s">
        <v>986</v>
      </c>
      <c r="F832" s="316"/>
      <c r="G832" s="321">
        <f>G833+G835+G837</f>
        <v>5015</v>
      </c>
      <c r="H832" s="321">
        <f>H833+H835+H837</f>
        <v>5015</v>
      </c>
      <c r="I832" s="211"/>
    </row>
    <row r="833" spans="1:9" ht="78.75" x14ac:dyDescent="0.25">
      <c r="A833" s="320" t="s">
        <v>142</v>
      </c>
      <c r="B833" s="314">
        <v>907</v>
      </c>
      <c r="C833" s="316" t="s">
        <v>506</v>
      </c>
      <c r="D833" s="316" t="s">
        <v>249</v>
      </c>
      <c r="E833" s="316" t="s">
        <v>986</v>
      </c>
      <c r="F833" s="316" t="s">
        <v>143</v>
      </c>
      <c r="G833" s="321">
        <f>G834</f>
        <v>4454</v>
      </c>
      <c r="H833" s="321">
        <f>H834</f>
        <v>4454</v>
      </c>
      <c r="I833" s="211"/>
    </row>
    <row r="834" spans="1:9" ht="19.5" customHeight="1" x14ac:dyDescent="0.25">
      <c r="A834" s="320" t="s">
        <v>357</v>
      </c>
      <c r="B834" s="314">
        <v>907</v>
      </c>
      <c r="C834" s="316" t="s">
        <v>506</v>
      </c>
      <c r="D834" s="316" t="s">
        <v>249</v>
      </c>
      <c r="E834" s="316" t="s">
        <v>986</v>
      </c>
      <c r="F834" s="316" t="s">
        <v>224</v>
      </c>
      <c r="G834" s="321">
        <v>4454</v>
      </c>
      <c r="H834" s="321">
        <f t="shared" si="62"/>
        <v>4454</v>
      </c>
      <c r="I834" s="211"/>
    </row>
    <row r="835" spans="1:9" ht="31.5" x14ac:dyDescent="0.25">
      <c r="A835" s="320" t="s">
        <v>146</v>
      </c>
      <c r="B835" s="314">
        <v>907</v>
      </c>
      <c r="C835" s="316" t="s">
        <v>506</v>
      </c>
      <c r="D835" s="316" t="s">
        <v>249</v>
      </c>
      <c r="E835" s="316" t="s">
        <v>986</v>
      </c>
      <c r="F835" s="316" t="s">
        <v>147</v>
      </c>
      <c r="G835" s="321">
        <f>G836</f>
        <v>510</v>
      </c>
      <c r="H835" s="321">
        <f>H836</f>
        <v>510</v>
      </c>
      <c r="I835" s="211"/>
    </row>
    <row r="836" spans="1:9" ht="31.5" x14ac:dyDescent="0.25">
      <c r="A836" s="320" t="s">
        <v>148</v>
      </c>
      <c r="B836" s="314">
        <v>907</v>
      </c>
      <c r="C836" s="316" t="s">
        <v>506</v>
      </c>
      <c r="D836" s="316" t="s">
        <v>249</v>
      </c>
      <c r="E836" s="316" t="s">
        <v>986</v>
      </c>
      <c r="F836" s="316" t="s">
        <v>149</v>
      </c>
      <c r="G836" s="321">
        <f>510</f>
        <v>510</v>
      </c>
      <c r="H836" s="321">
        <f t="shared" si="62"/>
        <v>510</v>
      </c>
      <c r="I836" s="211"/>
    </row>
    <row r="837" spans="1:9" ht="15.75" x14ac:dyDescent="0.25">
      <c r="A837" s="320" t="s">
        <v>150</v>
      </c>
      <c r="B837" s="314">
        <v>907</v>
      </c>
      <c r="C837" s="316" t="s">
        <v>506</v>
      </c>
      <c r="D837" s="316" t="s">
        <v>249</v>
      </c>
      <c r="E837" s="316" t="s">
        <v>986</v>
      </c>
      <c r="F837" s="316" t="s">
        <v>160</v>
      </c>
      <c r="G837" s="321">
        <f>G838</f>
        <v>51</v>
      </c>
      <c r="H837" s="321">
        <f>H838</f>
        <v>51</v>
      </c>
      <c r="I837" s="211"/>
    </row>
    <row r="838" spans="1:9" ht="15.75" x14ac:dyDescent="0.25">
      <c r="A838" s="320" t="s">
        <v>583</v>
      </c>
      <c r="B838" s="314">
        <v>907</v>
      </c>
      <c r="C838" s="316" t="s">
        <v>506</v>
      </c>
      <c r="D838" s="316" t="s">
        <v>249</v>
      </c>
      <c r="E838" s="316" t="s">
        <v>986</v>
      </c>
      <c r="F838" s="316" t="s">
        <v>153</v>
      </c>
      <c r="G838" s="321">
        <f>51</f>
        <v>51</v>
      </c>
      <c r="H838" s="321">
        <f t="shared" si="62"/>
        <v>51</v>
      </c>
      <c r="I838" s="211"/>
    </row>
    <row r="839" spans="1:9" ht="47.25" x14ac:dyDescent="0.25">
      <c r="A839" s="320" t="s">
        <v>883</v>
      </c>
      <c r="B839" s="314">
        <v>907</v>
      </c>
      <c r="C839" s="316" t="s">
        <v>506</v>
      </c>
      <c r="D839" s="316" t="s">
        <v>249</v>
      </c>
      <c r="E839" s="316" t="s">
        <v>987</v>
      </c>
      <c r="F839" s="316"/>
      <c r="G839" s="321">
        <f>G840</f>
        <v>210</v>
      </c>
      <c r="H839" s="321">
        <f>H840</f>
        <v>210</v>
      </c>
      <c r="I839" s="211"/>
    </row>
    <row r="840" spans="1:9" ht="78.75" x14ac:dyDescent="0.25">
      <c r="A840" s="320" t="s">
        <v>142</v>
      </c>
      <c r="B840" s="314">
        <v>907</v>
      </c>
      <c r="C840" s="316" t="s">
        <v>506</v>
      </c>
      <c r="D840" s="316" t="s">
        <v>249</v>
      </c>
      <c r="E840" s="316" t="s">
        <v>987</v>
      </c>
      <c r="F840" s="316" t="s">
        <v>143</v>
      </c>
      <c r="G840" s="321">
        <f>G841</f>
        <v>210</v>
      </c>
      <c r="H840" s="321">
        <f>H841</f>
        <v>210</v>
      </c>
      <c r="I840" s="211"/>
    </row>
    <row r="841" spans="1:9" ht="19.5" customHeight="1" x14ac:dyDescent="0.25">
      <c r="A841" s="320" t="s">
        <v>357</v>
      </c>
      <c r="B841" s="314">
        <v>907</v>
      </c>
      <c r="C841" s="316" t="s">
        <v>506</v>
      </c>
      <c r="D841" s="316" t="s">
        <v>249</v>
      </c>
      <c r="E841" s="316" t="s">
        <v>987</v>
      </c>
      <c r="F841" s="316" t="s">
        <v>224</v>
      </c>
      <c r="G841" s="321">
        <f>210</f>
        <v>210</v>
      </c>
      <c r="H841" s="321">
        <f t="shared" si="62"/>
        <v>210</v>
      </c>
      <c r="I841" s="211"/>
    </row>
    <row r="842" spans="1:9" ht="47.25" x14ac:dyDescent="0.25">
      <c r="A842" s="41" t="s">
        <v>1425</v>
      </c>
      <c r="B842" s="315">
        <v>907</v>
      </c>
      <c r="C842" s="319" t="s">
        <v>506</v>
      </c>
      <c r="D842" s="319" t="s">
        <v>249</v>
      </c>
      <c r="E842" s="312" t="s">
        <v>497</v>
      </c>
      <c r="F842" s="319"/>
      <c r="G842" s="317">
        <f t="shared" ref="G842:H844" si="65">G843</f>
        <v>2000</v>
      </c>
      <c r="H842" s="317">
        <f t="shared" si="65"/>
        <v>2000</v>
      </c>
      <c r="I842" s="211"/>
    </row>
    <row r="843" spans="1:9" ht="47.25" x14ac:dyDescent="0.25">
      <c r="A843" s="58" t="s">
        <v>1426</v>
      </c>
      <c r="B843" s="315">
        <v>907</v>
      </c>
      <c r="C843" s="319" t="s">
        <v>506</v>
      </c>
      <c r="D843" s="319" t="s">
        <v>249</v>
      </c>
      <c r="E843" s="312" t="s">
        <v>517</v>
      </c>
      <c r="F843" s="319"/>
      <c r="G843" s="317">
        <f t="shared" si="65"/>
        <v>2000</v>
      </c>
      <c r="H843" s="317">
        <f t="shared" si="65"/>
        <v>2000</v>
      </c>
      <c r="I843" s="211"/>
    </row>
    <row r="844" spans="1:9" ht="31.5" x14ac:dyDescent="0.25">
      <c r="A844" s="58" t="s">
        <v>1084</v>
      </c>
      <c r="B844" s="315">
        <v>907</v>
      </c>
      <c r="C844" s="319" t="s">
        <v>506</v>
      </c>
      <c r="D844" s="319" t="s">
        <v>249</v>
      </c>
      <c r="E844" s="312" t="s">
        <v>1085</v>
      </c>
      <c r="F844" s="319"/>
      <c r="G844" s="317">
        <f t="shared" si="65"/>
        <v>2000</v>
      </c>
      <c r="H844" s="317">
        <f t="shared" si="65"/>
        <v>2000</v>
      </c>
      <c r="I844" s="211"/>
    </row>
    <row r="845" spans="1:9" ht="15.75" x14ac:dyDescent="0.25">
      <c r="A845" s="323" t="s">
        <v>1086</v>
      </c>
      <c r="B845" s="314">
        <v>907</v>
      </c>
      <c r="C845" s="316" t="s">
        <v>506</v>
      </c>
      <c r="D845" s="316" t="s">
        <v>249</v>
      </c>
      <c r="E845" s="324" t="s">
        <v>1234</v>
      </c>
      <c r="F845" s="316"/>
      <c r="G845" s="321">
        <f>G846+G848</f>
        <v>2000</v>
      </c>
      <c r="H845" s="321">
        <f>H846+H848</f>
        <v>2000</v>
      </c>
      <c r="I845" s="211"/>
    </row>
    <row r="846" spans="1:9" ht="78.75" x14ac:dyDescent="0.25">
      <c r="A846" s="320" t="s">
        <v>142</v>
      </c>
      <c r="B846" s="314">
        <v>907</v>
      </c>
      <c r="C846" s="316" t="s">
        <v>506</v>
      </c>
      <c r="D846" s="316" t="s">
        <v>249</v>
      </c>
      <c r="E846" s="324" t="s">
        <v>1234</v>
      </c>
      <c r="F846" s="316" t="s">
        <v>143</v>
      </c>
      <c r="G846" s="321">
        <f>G847</f>
        <v>1500</v>
      </c>
      <c r="H846" s="321">
        <f>H847</f>
        <v>1500</v>
      </c>
      <c r="I846" s="211"/>
    </row>
    <row r="847" spans="1:9" ht="31.5" x14ac:dyDescent="0.25">
      <c r="A847" s="320" t="s">
        <v>357</v>
      </c>
      <c r="B847" s="314">
        <v>907</v>
      </c>
      <c r="C847" s="316" t="s">
        <v>506</v>
      </c>
      <c r="D847" s="316" t="s">
        <v>249</v>
      </c>
      <c r="E847" s="324" t="s">
        <v>1234</v>
      </c>
      <c r="F847" s="316" t="s">
        <v>224</v>
      </c>
      <c r="G847" s="321">
        <f>1500</f>
        <v>1500</v>
      </c>
      <c r="H847" s="321">
        <f t="shared" si="62"/>
        <v>1500</v>
      </c>
      <c r="I847" s="211"/>
    </row>
    <row r="848" spans="1:9" ht="31.5" x14ac:dyDescent="0.25">
      <c r="A848" s="323" t="s">
        <v>146</v>
      </c>
      <c r="B848" s="314">
        <v>907</v>
      </c>
      <c r="C848" s="316" t="s">
        <v>506</v>
      </c>
      <c r="D848" s="316" t="s">
        <v>249</v>
      </c>
      <c r="E848" s="324" t="s">
        <v>1234</v>
      </c>
      <c r="F848" s="316" t="s">
        <v>147</v>
      </c>
      <c r="G848" s="321">
        <f>G849</f>
        <v>500</v>
      </c>
      <c r="H848" s="321">
        <f>H849</f>
        <v>500</v>
      </c>
      <c r="I848" s="211"/>
    </row>
    <row r="849" spans="1:9" ht="31.5" x14ac:dyDescent="0.25">
      <c r="A849" s="323" t="s">
        <v>148</v>
      </c>
      <c r="B849" s="314">
        <v>907</v>
      </c>
      <c r="C849" s="316" t="s">
        <v>506</v>
      </c>
      <c r="D849" s="316" t="s">
        <v>249</v>
      </c>
      <c r="E849" s="324" t="s">
        <v>1234</v>
      </c>
      <c r="F849" s="316" t="s">
        <v>149</v>
      </c>
      <c r="G849" s="321">
        <f>500</f>
        <v>500</v>
      </c>
      <c r="H849" s="321">
        <f t="shared" si="62"/>
        <v>500</v>
      </c>
      <c r="I849" s="211"/>
    </row>
    <row r="850" spans="1:9" ht="31.5" x14ac:dyDescent="0.25">
      <c r="A850" s="315" t="s">
        <v>519</v>
      </c>
      <c r="B850" s="315">
        <v>908</v>
      </c>
      <c r="C850" s="316"/>
      <c r="D850" s="316"/>
      <c r="E850" s="316"/>
      <c r="F850" s="316"/>
      <c r="G850" s="317">
        <f>G865+G872+G891+G1054+G851</f>
        <v>104759.49980000001</v>
      </c>
      <c r="H850" s="317">
        <f>H865+H872+H891+H1054+H851</f>
        <v>88689.899799999999</v>
      </c>
      <c r="I850" s="211"/>
    </row>
    <row r="851" spans="1:9" ht="15.75" x14ac:dyDescent="0.25">
      <c r="A851" s="34" t="s">
        <v>132</v>
      </c>
      <c r="B851" s="315">
        <v>908</v>
      </c>
      <c r="C851" s="319" t="s">
        <v>133</v>
      </c>
      <c r="D851" s="316"/>
      <c r="E851" s="316"/>
      <c r="F851" s="316"/>
      <c r="G851" s="317">
        <f>G852</f>
        <v>38273</v>
      </c>
      <c r="H851" s="317">
        <f t="shared" ref="G851:H853" si="66">H852</f>
        <v>38273</v>
      </c>
      <c r="I851" s="211"/>
    </row>
    <row r="852" spans="1:9" ht="15.75" x14ac:dyDescent="0.25">
      <c r="A852" s="34" t="s">
        <v>154</v>
      </c>
      <c r="B852" s="315">
        <v>908</v>
      </c>
      <c r="C852" s="319" t="s">
        <v>133</v>
      </c>
      <c r="D852" s="319" t="s">
        <v>155</v>
      </c>
      <c r="E852" s="316"/>
      <c r="F852" s="316"/>
      <c r="G852" s="317">
        <f t="shared" si="66"/>
        <v>38273</v>
      </c>
      <c r="H852" s="317">
        <f t="shared" si="66"/>
        <v>38273</v>
      </c>
      <c r="I852" s="211"/>
    </row>
    <row r="853" spans="1:9" ht="15.75" x14ac:dyDescent="0.25">
      <c r="A853" s="318" t="s">
        <v>156</v>
      </c>
      <c r="B853" s="315">
        <v>908</v>
      </c>
      <c r="C853" s="319" t="s">
        <v>133</v>
      </c>
      <c r="D853" s="319" t="s">
        <v>155</v>
      </c>
      <c r="E853" s="319" t="s">
        <v>910</v>
      </c>
      <c r="F853" s="319"/>
      <c r="G853" s="44">
        <f t="shared" si="66"/>
        <v>38273</v>
      </c>
      <c r="H853" s="44">
        <f t="shared" si="66"/>
        <v>38273</v>
      </c>
      <c r="I853" s="211"/>
    </row>
    <row r="854" spans="1:9" ht="15.75" x14ac:dyDescent="0.25">
      <c r="A854" s="318" t="s">
        <v>1088</v>
      </c>
      <c r="B854" s="315">
        <v>908</v>
      </c>
      <c r="C854" s="319" t="s">
        <v>133</v>
      </c>
      <c r="D854" s="319" t="s">
        <v>155</v>
      </c>
      <c r="E854" s="319" t="s">
        <v>1087</v>
      </c>
      <c r="F854" s="319"/>
      <c r="G854" s="44">
        <f>G858+G855</f>
        <v>38273</v>
      </c>
      <c r="H854" s="44">
        <f>H858+H855</f>
        <v>38273</v>
      </c>
      <c r="I854" s="211"/>
    </row>
    <row r="855" spans="1:9" ht="47.25" x14ac:dyDescent="0.25">
      <c r="A855" s="320" t="s">
        <v>883</v>
      </c>
      <c r="B855" s="314">
        <v>908</v>
      </c>
      <c r="C855" s="316" t="s">
        <v>133</v>
      </c>
      <c r="D855" s="316" t="s">
        <v>155</v>
      </c>
      <c r="E855" s="316" t="s">
        <v>1090</v>
      </c>
      <c r="F855" s="316"/>
      <c r="G855" s="321">
        <f>G856</f>
        <v>672</v>
      </c>
      <c r="H855" s="321">
        <f>H856</f>
        <v>672</v>
      </c>
      <c r="I855" s="211"/>
    </row>
    <row r="856" spans="1:9" ht="78.75" x14ac:dyDescent="0.25">
      <c r="A856" s="320" t="s">
        <v>142</v>
      </c>
      <c r="B856" s="314">
        <v>908</v>
      </c>
      <c r="C856" s="316" t="s">
        <v>133</v>
      </c>
      <c r="D856" s="316" t="s">
        <v>155</v>
      </c>
      <c r="E856" s="316" t="s">
        <v>1090</v>
      </c>
      <c r="F856" s="316" t="s">
        <v>143</v>
      </c>
      <c r="G856" s="321">
        <f>G857</f>
        <v>672</v>
      </c>
      <c r="H856" s="321">
        <f>H857</f>
        <v>672</v>
      </c>
      <c r="I856" s="211"/>
    </row>
    <row r="857" spans="1:9" ht="31.5" x14ac:dyDescent="0.25">
      <c r="A857" s="320" t="s">
        <v>144</v>
      </c>
      <c r="B857" s="314">
        <v>908</v>
      </c>
      <c r="C857" s="316" t="s">
        <v>133</v>
      </c>
      <c r="D857" s="316" t="s">
        <v>155</v>
      </c>
      <c r="E857" s="316" t="s">
        <v>1090</v>
      </c>
      <c r="F857" s="316" t="s">
        <v>224</v>
      </c>
      <c r="G857" s="321">
        <f>672</f>
        <v>672</v>
      </c>
      <c r="H857" s="321">
        <f t="shared" ref="H857:H918" si="67">G857</f>
        <v>672</v>
      </c>
      <c r="I857" s="211"/>
    </row>
    <row r="858" spans="1:9" ht="15.75" x14ac:dyDescent="0.25">
      <c r="A858" s="320" t="s">
        <v>832</v>
      </c>
      <c r="B858" s="314">
        <v>908</v>
      </c>
      <c r="C858" s="316" t="s">
        <v>133</v>
      </c>
      <c r="D858" s="316" t="s">
        <v>155</v>
      </c>
      <c r="E858" s="316" t="s">
        <v>1089</v>
      </c>
      <c r="F858" s="316"/>
      <c r="G858" s="321">
        <f>G859+G863+G861</f>
        <v>37601</v>
      </c>
      <c r="H858" s="321">
        <f>H859+H863+H861</f>
        <v>37601</v>
      </c>
      <c r="I858" s="211"/>
    </row>
    <row r="859" spans="1:9" ht="78.75" x14ac:dyDescent="0.25">
      <c r="A859" s="320" t="s">
        <v>142</v>
      </c>
      <c r="B859" s="314">
        <v>908</v>
      </c>
      <c r="C859" s="316" t="s">
        <v>133</v>
      </c>
      <c r="D859" s="316" t="s">
        <v>155</v>
      </c>
      <c r="E859" s="316" t="s">
        <v>1089</v>
      </c>
      <c r="F859" s="316" t="s">
        <v>143</v>
      </c>
      <c r="G859" s="321">
        <f>G860</f>
        <v>30180</v>
      </c>
      <c r="H859" s="321">
        <f>H860</f>
        <v>30180</v>
      </c>
      <c r="I859" s="211"/>
    </row>
    <row r="860" spans="1:9" ht="31.5" x14ac:dyDescent="0.25">
      <c r="A860" s="46" t="s">
        <v>357</v>
      </c>
      <c r="B860" s="314">
        <v>908</v>
      </c>
      <c r="C860" s="316" t="s">
        <v>133</v>
      </c>
      <c r="D860" s="316" t="s">
        <v>155</v>
      </c>
      <c r="E860" s="316" t="s">
        <v>1089</v>
      </c>
      <c r="F860" s="316" t="s">
        <v>224</v>
      </c>
      <c r="G860" s="321">
        <f>30180</f>
        <v>30180</v>
      </c>
      <c r="H860" s="321">
        <f t="shared" si="67"/>
        <v>30180</v>
      </c>
      <c r="I860" s="211"/>
    </row>
    <row r="861" spans="1:9" ht="31.5" x14ac:dyDescent="0.25">
      <c r="A861" s="320" t="s">
        <v>146</v>
      </c>
      <c r="B861" s="314">
        <v>908</v>
      </c>
      <c r="C861" s="316" t="s">
        <v>133</v>
      </c>
      <c r="D861" s="316" t="s">
        <v>155</v>
      </c>
      <c r="E861" s="316" t="s">
        <v>1089</v>
      </c>
      <c r="F861" s="316" t="s">
        <v>147</v>
      </c>
      <c r="G861" s="321">
        <f>G862</f>
        <v>7000</v>
      </c>
      <c r="H861" s="321">
        <f>H862</f>
        <v>7000</v>
      </c>
      <c r="I861" s="211"/>
    </row>
    <row r="862" spans="1:9" ht="31.5" x14ac:dyDescent="0.25">
      <c r="A862" s="320" t="s">
        <v>148</v>
      </c>
      <c r="B862" s="314">
        <v>908</v>
      </c>
      <c r="C862" s="316" t="s">
        <v>133</v>
      </c>
      <c r="D862" s="316" t="s">
        <v>155</v>
      </c>
      <c r="E862" s="316" t="s">
        <v>1089</v>
      </c>
      <c r="F862" s="316" t="s">
        <v>149</v>
      </c>
      <c r="G862" s="321">
        <f>7000</f>
        <v>7000</v>
      </c>
      <c r="H862" s="321">
        <f t="shared" si="67"/>
        <v>7000</v>
      </c>
      <c r="I862" s="211"/>
    </row>
    <row r="863" spans="1:9" ht="15.75" x14ac:dyDescent="0.25">
      <c r="A863" s="320" t="s">
        <v>150</v>
      </c>
      <c r="B863" s="314">
        <v>908</v>
      </c>
      <c r="C863" s="316" t="s">
        <v>133</v>
      </c>
      <c r="D863" s="316" t="s">
        <v>155</v>
      </c>
      <c r="E863" s="316" t="s">
        <v>1089</v>
      </c>
      <c r="F863" s="316" t="s">
        <v>160</v>
      </c>
      <c r="G863" s="321">
        <f>G864</f>
        <v>421</v>
      </c>
      <c r="H863" s="321">
        <f>H864</f>
        <v>421</v>
      </c>
      <c r="I863" s="211"/>
    </row>
    <row r="864" spans="1:9" ht="15.75" x14ac:dyDescent="0.25">
      <c r="A864" s="320" t="s">
        <v>725</v>
      </c>
      <c r="B864" s="314">
        <v>908</v>
      </c>
      <c r="C864" s="316" t="s">
        <v>133</v>
      </c>
      <c r="D864" s="316" t="s">
        <v>155</v>
      </c>
      <c r="E864" s="316" t="s">
        <v>1089</v>
      </c>
      <c r="F864" s="316" t="s">
        <v>153</v>
      </c>
      <c r="G864" s="321">
        <f>421</f>
        <v>421</v>
      </c>
      <c r="H864" s="321">
        <f t="shared" si="67"/>
        <v>421</v>
      </c>
      <c r="I864" s="211"/>
    </row>
    <row r="865" spans="1:9" ht="31.5" x14ac:dyDescent="0.25">
      <c r="A865" s="318" t="s">
        <v>237</v>
      </c>
      <c r="B865" s="315">
        <v>908</v>
      </c>
      <c r="C865" s="319" t="s">
        <v>230</v>
      </c>
      <c r="D865" s="319"/>
      <c r="E865" s="319"/>
      <c r="F865" s="319"/>
      <c r="G865" s="317">
        <f t="shared" ref="G865:H868" si="68">G866</f>
        <v>107</v>
      </c>
      <c r="H865" s="317">
        <f t="shared" si="68"/>
        <v>107</v>
      </c>
      <c r="I865" s="211"/>
    </row>
    <row r="866" spans="1:9" ht="47.25" x14ac:dyDescent="0.25">
      <c r="A866" s="318" t="s">
        <v>238</v>
      </c>
      <c r="B866" s="315">
        <v>908</v>
      </c>
      <c r="C866" s="319" t="s">
        <v>230</v>
      </c>
      <c r="D866" s="319" t="s">
        <v>234</v>
      </c>
      <c r="E866" s="319"/>
      <c r="F866" s="319"/>
      <c r="G866" s="317">
        <f t="shared" si="68"/>
        <v>107</v>
      </c>
      <c r="H866" s="317">
        <f t="shared" si="68"/>
        <v>107</v>
      </c>
      <c r="I866" s="211"/>
    </row>
    <row r="867" spans="1:9" ht="15.75" x14ac:dyDescent="0.25">
      <c r="A867" s="318" t="s">
        <v>156</v>
      </c>
      <c r="B867" s="315">
        <v>908</v>
      </c>
      <c r="C867" s="319" t="s">
        <v>230</v>
      </c>
      <c r="D867" s="319" t="s">
        <v>234</v>
      </c>
      <c r="E867" s="319" t="s">
        <v>910</v>
      </c>
      <c r="F867" s="319"/>
      <c r="G867" s="317">
        <f t="shared" si="68"/>
        <v>107</v>
      </c>
      <c r="H867" s="317">
        <f t="shared" si="68"/>
        <v>107</v>
      </c>
      <c r="I867" s="211"/>
    </row>
    <row r="868" spans="1:9" ht="31.5" x14ac:dyDescent="0.25">
      <c r="A868" s="318" t="s">
        <v>914</v>
      </c>
      <c r="B868" s="315">
        <v>908</v>
      </c>
      <c r="C868" s="319" t="s">
        <v>230</v>
      </c>
      <c r="D868" s="319" t="s">
        <v>234</v>
      </c>
      <c r="E868" s="319" t="s">
        <v>909</v>
      </c>
      <c r="F868" s="319"/>
      <c r="G868" s="317">
        <f t="shared" si="68"/>
        <v>107</v>
      </c>
      <c r="H868" s="317">
        <f t="shared" si="68"/>
        <v>107</v>
      </c>
      <c r="I868" s="211"/>
    </row>
    <row r="869" spans="1:9" ht="15.75" x14ac:dyDescent="0.25">
      <c r="A869" s="320" t="s">
        <v>245</v>
      </c>
      <c r="B869" s="314">
        <v>908</v>
      </c>
      <c r="C869" s="316" t="s">
        <v>230</v>
      </c>
      <c r="D869" s="316" t="s">
        <v>234</v>
      </c>
      <c r="E869" s="316" t="s">
        <v>920</v>
      </c>
      <c r="F869" s="316"/>
      <c r="G869" s="321">
        <f>G870</f>
        <v>107</v>
      </c>
      <c r="H869" s="321">
        <f>H870</f>
        <v>107</v>
      </c>
      <c r="I869" s="211"/>
    </row>
    <row r="870" spans="1:9" ht="31.5" x14ac:dyDescent="0.25">
      <c r="A870" s="320" t="s">
        <v>146</v>
      </c>
      <c r="B870" s="314">
        <v>908</v>
      </c>
      <c r="C870" s="316" t="s">
        <v>230</v>
      </c>
      <c r="D870" s="316" t="s">
        <v>234</v>
      </c>
      <c r="E870" s="316" t="s">
        <v>920</v>
      </c>
      <c r="F870" s="316" t="s">
        <v>147</v>
      </c>
      <c r="G870" s="321">
        <f>G871</f>
        <v>107</v>
      </c>
      <c r="H870" s="321">
        <f>H871</f>
        <v>107</v>
      </c>
      <c r="I870" s="211"/>
    </row>
    <row r="871" spans="1:9" ht="31.5" x14ac:dyDescent="0.25">
      <c r="A871" s="320" t="s">
        <v>148</v>
      </c>
      <c r="B871" s="314">
        <v>908</v>
      </c>
      <c r="C871" s="316" t="s">
        <v>230</v>
      </c>
      <c r="D871" s="316" t="s">
        <v>234</v>
      </c>
      <c r="E871" s="316" t="s">
        <v>920</v>
      </c>
      <c r="F871" s="316" t="s">
        <v>149</v>
      </c>
      <c r="G871" s="321">
        <f>107</f>
        <v>107</v>
      </c>
      <c r="H871" s="321">
        <f t="shared" si="67"/>
        <v>107</v>
      </c>
      <c r="I871" s="211"/>
    </row>
    <row r="872" spans="1:9" ht="15.75" x14ac:dyDescent="0.25">
      <c r="A872" s="318" t="s">
        <v>247</v>
      </c>
      <c r="B872" s="315">
        <v>908</v>
      </c>
      <c r="C872" s="319" t="s">
        <v>165</v>
      </c>
      <c r="D872" s="319"/>
      <c r="E872" s="319"/>
      <c r="F872" s="319"/>
      <c r="G872" s="317">
        <f>G873+G879</f>
        <v>6447</v>
      </c>
      <c r="H872" s="317">
        <f>H873+H879</f>
        <v>6536</v>
      </c>
      <c r="I872" s="211"/>
    </row>
    <row r="873" spans="1:9" ht="15.75" x14ac:dyDescent="0.25">
      <c r="A873" s="318" t="s">
        <v>520</v>
      </c>
      <c r="B873" s="315">
        <v>908</v>
      </c>
      <c r="C873" s="319" t="s">
        <v>165</v>
      </c>
      <c r="D873" s="319" t="s">
        <v>314</v>
      </c>
      <c r="E873" s="319"/>
      <c r="F873" s="319"/>
      <c r="G873" s="317">
        <f t="shared" ref="G873:H875" si="69">G874</f>
        <v>3258</v>
      </c>
      <c r="H873" s="317">
        <f t="shared" si="69"/>
        <v>3258</v>
      </c>
      <c r="I873" s="211"/>
    </row>
    <row r="874" spans="1:9" ht="15.75" x14ac:dyDescent="0.25">
      <c r="A874" s="318" t="s">
        <v>156</v>
      </c>
      <c r="B874" s="315">
        <v>908</v>
      </c>
      <c r="C874" s="319" t="s">
        <v>165</v>
      </c>
      <c r="D874" s="319" t="s">
        <v>314</v>
      </c>
      <c r="E874" s="319" t="s">
        <v>910</v>
      </c>
      <c r="F874" s="319"/>
      <c r="G874" s="317">
        <f t="shared" si="69"/>
        <v>3258</v>
      </c>
      <c r="H874" s="317">
        <f t="shared" si="69"/>
        <v>3258</v>
      </c>
      <c r="I874" s="211"/>
    </row>
    <row r="875" spans="1:9" ht="31.5" x14ac:dyDescent="0.25">
      <c r="A875" s="318" t="s">
        <v>914</v>
      </c>
      <c r="B875" s="315">
        <v>908</v>
      </c>
      <c r="C875" s="319" t="s">
        <v>165</v>
      </c>
      <c r="D875" s="319" t="s">
        <v>314</v>
      </c>
      <c r="E875" s="319" t="s">
        <v>909</v>
      </c>
      <c r="F875" s="319"/>
      <c r="G875" s="317">
        <f t="shared" si="69"/>
        <v>3258</v>
      </c>
      <c r="H875" s="317">
        <f t="shared" si="69"/>
        <v>3258</v>
      </c>
      <c r="I875" s="211"/>
    </row>
    <row r="876" spans="1:9" ht="15.75" x14ac:dyDescent="0.25">
      <c r="A876" s="320" t="s">
        <v>521</v>
      </c>
      <c r="B876" s="314">
        <v>908</v>
      </c>
      <c r="C876" s="316" t="s">
        <v>165</v>
      </c>
      <c r="D876" s="316" t="s">
        <v>314</v>
      </c>
      <c r="E876" s="316" t="s">
        <v>1091</v>
      </c>
      <c r="F876" s="316"/>
      <c r="G876" s="321">
        <f>G877</f>
        <v>3258</v>
      </c>
      <c r="H876" s="321">
        <f>H877</f>
        <v>3258</v>
      </c>
      <c r="I876" s="211"/>
    </row>
    <row r="877" spans="1:9" ht="31.5" x14ac:dyDescent="0.25">
      <c r="A877" s="320" t="s">
        <v>146</v>
      </c>
      <c r="B877" s="314">
        <v>908</v>
      </c>
      <c r="C877" s="316" t="s">
        <v>165</v>
      </c>
      <c r="D877" s="316" t="s">
        <v>314</v>
      </c>
      <c r="E877" s="316" t="s">
        <v>1091</v>
      </c>
      <c r="F877" s="316" t="s">
        <v>147</v>
      </c>
      <c r="G877" s="321">
        <f>G878</f>
        <v>3258</v>
      </c>
      <c r="H877" s="321">
        <f>H878</f>
        <v>3258</v>
      </c>
      <c r="I877" s="211"/>
    </row>
    <row r="878" spans="1:9" ht="31.5" x14ac:dyDescent="0.25">
      <c r="A878" s="320" t="s">
        <v>148</v>
      </c>
      <c r="B878" s="314">
        <v>908</v>
      </c>
      <c r="C878" s="316" t="s">
        <v>165</v>
      </c>
      <c r="D878" s="316" t="s">
        <v>314</v>
      </c>
      <c r="E878" s="316" t="s">
        <v>1091</v>
      </c>
      <c r="F878" s="316" t="s">
        <v>149</v>
      </c>
      <c r="G878" s="321">
        <f>3258</f>
        <v>3258</v>
      </c>
      <c r="H878" s="321">
        <f t="shared" si="67"/>
        <v>3258</v>
      </c>
      <c r="I878" s="211"/>
    </row>
    <row r="879" spans="1:9" ht="15.75" x14ac:dyDescent="0.25">
      <c r="A879" s="318" t="s">
        <v>523</v>
      </c>
      <c r="B879" s="315">
        <v>908</v>
      </c>
      <c r="C879" s="319" t="s">
        <v>165</v>
      </c>
      <c r="D879" s="319" t="s">
        <v>234</v>
      </c>
      <c r="E879" s="316"/>
      <c r="F879" s="319"/>
      <c r="G879" s="317">
        <f>G880</f>
        <v>3189</v>
      </c>
      <c r="H879" s="317">
        <f>H880</f>
        <v>3278</v>
      </c>
      <c r="I879" s="211"/>
    </row>
    <row r="880" spans="1:9" ht="47.25" x14ac:dyDescent="0.25">
      <c r="A880" s="34" t="s">
        <v>1427</v>
      </c>
      <c r="B880" s="315">
        <v>908</v>
      </c>
      <c r="C880" s="319" t="s">
        <v>165</v>
      </c>
      <c r="D880" s="319" t="s">
        <v>234</v>
      </c>
      <c r="E880" s="319" t="s">
        <v>525</v>
      </c>
      <c r="F880" s="319"/>
      <c r="G880" s="317">
        <f>G886+G881</f>
        <v>3189</v>
      </c>
      <c r="H880" s="317">
        <f>H886+H881</f>
        <v>3278</v>
      </c>
      <c r="I880" s="211"/>
    </row>
    <row r="881" spans="1:9" ht="31.5" hidden="1" x14ac:dyDescent="0.25">
      <c r="A881" s="34" t="s">
        <v>1148</v>
      </c>
      <c r="B881" s="315">
        <v>908</v>
      </c>
      <c r="C881" s="319" t="s">
        <v>165</v>
      </c>
      <c r="D881" s="319" t="s">
        <v>234</v>
      </c>
      <c r="E881" s="312" t="s">
        <v>1092</v>
      </c>
      <c r="F881" s="319"/>
      <c r="G881" s="317">
        <f>G882</f>
        <v>0</v>
      </c>
      <c r="H881" s="317">
        <f>H882</f>
        <v>0</v>
      </c>
      <c r="I881" s="211"/>
    </row>
    <row r="882" spans="1:9" ht="15.75" hidden="1" x14ac:dyDescent="0.25">
      <c r="A882" s="323" t="s">
        <v>1150</v>
      </c>
      <c r="B882" s="314">
        <v>908</v>
      </c>
      <c r="C882" s="316" t="s">
        <v>165</v>
      </c>
      <c r="D882" s="316" t="s">
        <v>234</v>
      </c>
      <c r="E882" s="324" t="s">
        <v>1149</v>
      </c>
      <c r="F882" s="316"/>
      <c r="G882" s="321">
        <f>'Пр.4 ведом.20'!G991</f>
        <v>0</v>
      </c>
      <c r="H882" s="321">
        <f t="shared" si="67"/>
        <v>0</v>
      </c>
      <c r="I882" s="211"/>
    </row>
    <row r="883" spans="1:9" ht="31.5" hidden="1" x14ac:dyDescent="0.25">
      <c r="A883" s="320" t="s">
        <v>146</v>
      </c>
      <c r="B883" s="314">
        <v>908</v>
      </c>
      <c r="C883" s="316" t="s">
        <v>165</v>
      </c>
      <c r="D883" s="316" t="s">
        <v>234</v>
      </c>
      <c r="E883" s="324" t="s">
        <v>1149</v>
      </c>
      <c r="F883" s="316" t="s">
        <v>147</v>
      </c>
      <c r="G883" s="321">
        <f>'Пр.4 ведом.20'!G992</f>
        <v>0</v>
      </c>
      <c r="H883" s="321">
        <f t="shared" si="67"/>
        <v>0</v>
      </c>
      <c r="I883" s="211"/>
    </row>
    <row r="884" spans="1:9" ht="31.5" hidden="1" x14ac:dyDescent="0.25">
      <c r="A884" s="320" t="s">
        <v>148</v>
      </c>
      <c r="B884" s="314">
        <v>908</v>
      </c>
      <c r="C884" s="316" t="s">
        <v>165</v>
      </c>
      <c r="D884" s="316" t="s">
        <v>234</v>
      </c>
      <c r="E884" s="324" t="s">
        <v>1149</v>
      </c>
      <c r="F884" s="316" t="s">
        <v>149</v>
      </c>
      <c r="G884" s="321">
        <f>'Пр.4 ведом.20'!G993</f>
        <v>0</v>
      </c>
      <c r="H884" s="321">
        <f t="shared" si="67"/>
        <v>0</v>
      </c>
      <c r="I884" s="211"/>
    </row>
    <row r="885" spans="1:9" ht="31.5" x14ac:dyDescent="0.25">
      <c r="A885" s="34" t="s">
        <v>1235</v>
      </c>
      <c r="B885" s="315">
        <v>908</v>
      </c>
      <c r="C885" s="319" t="s">
        <v>165</v>
      </c>
      <c r="D885" s="319" t="s">
        <v>234</v>
      </c>
      <c r="E885" s="319" t="s">
        <v>1093</v>
      </c>
      <c r="F885" s="319"/>
      <c r="G885" s="317">
        <f t="shared" ref="G885:H887" si="70">G886</f>
        <v>3189</v>
      </c>
      <c r="H885" s="317">
        <f t="shared" si="70"/>
        <v>3278</v>
      </c>
      <c r="I885" s="211"/>
    </row>
    <row r="886" spans="1:9" ht="15.75" x14ac:dyDescent="0.25">
      <c r="A886" s="323" t="s">
        <v>526</v>
      </c>
      <c r="B886" s="314">
        <v>908</v>
      </c>
      <c r="C886" s="316" t="s">
        <v>165</v>
      </c>
      <c r="D886" s="316" t="s">
        <v>234</v>
      </c>
      <c r="E886" s="324" t="s">
        <v>1151</v>
      </c>
      <c r="F886" s="316"/>
      <c r="G886" s="321">
        <f t="shared" si="70"/>
        <v>3189</v>
      </c>
      <c r="H886" s="321">
        <f t="shared" si="70"/>
        <v>3278</v>
      </c>
      <c r="I886" s="211"/>
    </row>
    <row r="887" spans="1:9" ht="31.5" x14ac:dyDescent="0.25">
      <c r="A887" s="320" t="s">
        <v>146</v>
      </c>
      <c r="B887" s="314">
        <v>908</v>
      </c>
      <c r="C887" s="316" t="s">
        <v>165</v>
      </c>
      <c r="D887" s="316" t="s">
        <v>234</v>
      </c>
      <c r="E887" s="324" t="s">
        <v>1151</v>
      </c>
      <c r="F887" s="316" t="s">
        <v>147</v>
      </c>
      <c r="G887" s="321">
        <f t="shared" si="70"/>
        <v>3189</v>
      </c>
      <c r="H887" s="321">
        <f t="shared" si="70"/>
        <v>3278</v>
      </c>
      <c r="I887" s="211"/>
    </row>
    <row r="888" spans="1:9" ht="31.5" x14ac:dyDescent="0.25">
      <c r="A888" s="320" t="s">
        <v>148</v>
      </c>
      <c r="B888" s="314">
        <v>908</v>
      </c>
      <c r="C888" s="316" t="s">
        <v>165</v>
      </c>
      <c r="D888" s="316" t="s">
        <v>234</v>
      </c>
      <c r="E888" s="324" t="s">
        <v>1151</v>
      </c>
      <c r="F888" s="316" t="s">
        <v>149</v>
      </c>
      <c r="G888" s="321">
        <v>3189</v>
      </c>
      <c r="H888" s="321">
        <v>3278</v>
      </c>
      <c r="I888" s="211"/>
    </row>
    <row r="889" spans="1:9" ht="15.75" hidden="1" x14ac:dyDescent="0.25">
      <c r="A889" s="320" t="s">
        <v>150</v>
      </c>
      <c r="B889" s="314">
        <v>908</v>
      </c>
      <c r="C889" s="316" t="s">
        <v>165</v>
      </c>
      <c r="D889" s="316" t="s">
        <v>234</v>
      </c>
      <c r="E889" s="324" t="s">
        <v>1151</v>
      </c>
      <c r="F889" s="316" t="s">
        <v>160</v>
      </c>
      <c r="G889" s="321">
        <f>'Пр.4 ведом.20'!G1000</f>
        <v>0</v>
      </c>
      <c r="H889" s="321">
        <f t="shared" si="67"/>
        <v>0</v>
      </c>
      <c r="I889" s="211"/>
    </row>
    <row r="890" spans="1:9" ht="15.75" hidden="1" x14ac:dyDescent="0.25">
      <c r="A890" s="320" t="s">
        <v>583</v>
      </c>
      <c r="B890" s="314">
        <v>908</v>
      </c>
      <c r="C890" s="316" t="s">
        <v>165</v>
      </c>
      <c r="D890" s="316" t="s">
        <v>234</v>
      </c>
      <c r="E890" s="324" t="s">
        <v>1151</v>
      </c>
      <c r="F890" s="316" t="s">
        <v>153</v>
      </c>
      <c r="G890" s="321">
        <f>'Пр.4 ведом.20'!G1001</f>
        <v>0</v>
      </c>
      <c r="H890" s="321">
        <f t="shared" si="67"/>
        <v>0</v>
      </c>
      <c r="I890" s="211"/>
    </row>
    <row r="891" spans="1:9" ht="15.75" x14ac:dyDescent="0.25">
      <c r="A891" s="318" t="s">
        <v>405</v>
      </c>
      <c r="B891" s="315">
        <v>908</v>
      </c>
      <c r="C891" s="319" t="s">
        <v>249</v>
      </c>
      <c r="D891" s="319"/>
      <c r="E891" s="319"/>
      <c r="F891" s="319"/>
      <c r="G891" s="317">
        <f>G892+G906+G970+G1019</f>
        <v>59845.499800000005</v>
      </c>
      <c r="H891" s="317">
        <f>H892+H906+H970+H1019</f>
        <v>43686.899799999999</v>
      </c>
      <c r="I891" s="211"/>
    </row>
    <row r="892" spans="1:9" ht="15.75" x14ac:dyDescent="0.25">
      <c r="A892" s="318" t="s">
        <v>406</v>
      </c>
      <c r="B892" s="315">
        <v>908</v>
      </c>
      <c r="C892" s="319" t="s">
        <v>249</v>
      </c>
      <c r="D892" s="319" t="s">
        <v>133</v>
      </c>
      <c r="E892" s="319"/>
      <c r="F892" s="319"/>
      <c r="G892" s="317">
        <f>G893</f>
        <v>5160</v>
      </c>
      <c r="H892" s="317">
        <f>H893</f>
        <v>5160</v>
      </c>
      <c r="I892" s="211"/>
    </row>
    <row r="893" spans="1:9" ht="15.75" x14ac:dyDescent="0.25">
      <c r="A893" s="318" t="s">
        <v>156</v>
      </c>
      <c r="B893" s="315">
        <v>908</v>
      </c>
      <c r="C893" s="319" t="s">
        <v>249</v>
      </c>
      <c r="D893" s="319" t="s">
        <v>133</v>
      </c>
      <c r="E893" s="319" t="s">
        <v>910</v>
      </c>
      <c r="F893" s="319"/>
      <c r="G893" s="317">
        <f>G894</f>
        <v>5160</v>
      </c>
      <c r="H893" s="317">
        <f>H894</f>
        <v>5160</v>
      </c>
      <c r="I893" s="211"/>
    </row>
    <row r="894" spans="1:9" ht="31.5" x14ac:dyDescent="0.25">
      <c r="A894" s="318" t="s">
        <v>914</v>
      </c>
      <c r="B894" s="315">
        <v>908</v>
      </c>
      <c r="C894" s="319" t="s">
        <v>249</v>
      </c>
      <c r="D894" s="319" t="s">
        <v>133</v>
      </c>
      <c r="E894" s="319" t="s">
        <v>909</v>
      </c>
      <c r="F894" s="319"/>
      <c r="G894" s="317">
        <f>G903+G900+G895</f>
        <v>5160</v>
      </c>
      <c r="H894" s="317">
        <f>H903+H900+H895</f>
        <v>5160</v>
      </c>
      <c r="I894" s="211"/>
    </row>
    <row r="895" spans="1:9" ht="15.75" hidden="1" x14ac:dyDescent="0.25">
      <c r="A895" s="320" t="s">
        <v>530</v>
      </c>
      <c r="B895" s="314">
        <v>908</v>
      </c>
      <c r="C895" s="316" t="s">
        <v>795</v>
      </c>
      <c r="D895" s="316" t="s">
        <v>133</v>
      </c>
      <c r="E895" s="316" t="s">
        <v>1094</v>
      </c>
      <c r="F895" s="319"/>
      <c r="G895" s="321">
        <f>G896</f>
        <v>0</v>
      </c>
      <c r="H895" s="321">
        <f t="shared" si="67"/>
        <v>0</v>
      </c>
      <c r="I895" s="211"/>
    </row>
    <row r="896" spans="1:9" ht="31.5" hidden="1" x14ac:dyDescent="0.25">
      <c r="A896" s="320" t="s">
        <v>146</v>
      </c>
      <c r="B896" s="314">
        <v>908</v>
      </c>
      <c r="C896" s="316" t="s">
        <v>249</v>
      </c>
      <c r="D896" s="316" t="s">
        <v>133</v>
      </c>
      <c r="E896" s="316" t="s">
        <v>1094</v>
      </c>
      <c r="F896" s="316" t="s">
        <v>147</v>
      </c>
      <c r="G896" s="321">
        <f>G897</f>
        <v>0</v>
      </c>
      <c r="H896" s="321">
        <f t="shared" si="67"/>
        <v>0</v>
      </c>
      <c r="I896" s="211"/>
    </row>
    <row r="897" spans="1:9" ht="31.5" hidden="1" x14ac:dyDescent="0.25">
      <c r="A897" s="320" t="s">
        <v>148</v>
      </c>
      <c r="B897" s="314">
        <v>908</v>
      </c>
      <c r="C897" s="316" t="s">
        <v>249</v>
      </c>
      <c r="D897" s="316" t="s">
        <v>133</v>
      </c>
      <c r="E897" s="316" t="s">
        <v>1094</v>
      </c>
      <c r="F897" s="316" t="s">
        <v>149</v>
      </c>
      <c r="G897" s="321">
        <v>0</v>
      </c>
      <c r="H897" s="321">
        <f t="shared" si="67"/>
        <v>0</v>
      </c>
      <c r="I897" s="211"/>
    </row>
    <row r="898" spans="1:9" ht="15.75" hidden="1" x14ac:dyDescent="0.25">
      <c r="A898" s="320" t="s">
        <v>150</v>
      </c>
      <c r="B898" s="314">
        <v>908</v>
      </c>
      <c r="C898" s="316" t="s">
        <v>249</v>
      </c>
      <c r="D898" s="316" t="s">
        <v>133</v>
      </c>
      <c r="E898" s="316" t="s">
        <v>1094</v>
      </c>
      <c r="F898" s="316" t="s">
        <v>160</v>
      </c>
      <c r="G898" s="321">
        <f>'Пр.4 ведом.20'!G1015</f>
        <v>1000</v>
      </c>
      <c r="H898" s="321">
        <f t="shared" si="67"/>
        <v>1000</v>
      </c>
      <c r="I898" s="211"/>
    </row>
    <row r="899" spans="1:9" ht="47.25" hidden="1" x14ac:dyDescent="0.25">
      <c r="A899" s="320" t="s">
        <v>199</v>
      </c>
      <c r="B899" s="314">
        <v>908</v>
      </c>
      <c r="C899" s="316" t="s">
        <v>249</v>
      </c>
      <c r="D899" s="316" t="s">
        <v>133</v>
      </c>
      <c r="E899" s="316" t="s">
        <v>1094</v>
      </c>
      <c r="F899" s="316" t="s">
        <v>175</v>
      </c>
      <c r="G899" s="321">
        <f>'Пр.4 ведом.20'!G1016</f>
        <v>1000</v>
      </c>
      <c r="H899" s="321">
        <f t="shared" si="67"/>
        <v>1000</v>
      </c>
      <c r="I899" s="211"/>
    </row>
    <row r="900" spans="1:9" ht="31.5" x14ac:dyDescent="0.25">
      <c r="A900" s="323" t="s">
        <v>413</v>
      </c>
      <c r="B900" s="314">
        <v>908</v>
      </c>
      <c r="C900" s="316" t="s">
        <v>249</v>
      </c>
      <c r="D900" s="316" t="s">
        <v>133</v>
      </c>
      <c r="E900" s="316" t="s">
        <v>1095</v>
      </c>
      <c r="F900" s="319"/>
      <c r="G900" s="321">
        <f>G901</f>
        <v>4020</v>
      </c>
      <c r="H900" s="321">
        <f>H901</f>
        <v>4020</v>
      </c>
      <c r="I900" s="211"/>
    </row>
    <row r="901" spans="1:9" ht="31.5" x14ac:dyDescent="0.25">
      <c r="A901" s="320" t="s">
        <v>146</v>
      </c>
      <c r="B901" s="314">
        <v>908</v>
      </c>
      <c r="C901" s="316" t="s">
        <v>249</v>
      </c>
      <c r="D901" s="316" t="s">
        <v>133</v>
      </c>
      <c r="E901" s="316" t="s">
        <v>1095</v>
      </c>
      <c r="F901" s="316" t="s">
        <v>147</v>
      </c>
      <c r="G901" s="321">
        <f>G902</f>
        <v>4020</v>
      </c>
      <c r="H901" s="321">
        <f>H902</f>
        <v>4020</v>
      </c>
      <c r="I901" s="211"/>
    </row>
    <row r="902" spans="1:9" ht="31.5" x14ac:dyDescent="0.25">
      <c r="A902" s="320" t="s">
        <v>148</v>
      </c>
      <c r="B902" s="314">
        <v>908</v>
      </c>
      <c r="C902" s="316" t="s">
        <v>249</v>
      </c>
      <c r="D902" s="316" t="s">
        <v>133</v>
      </c>
      <c r="E902" s="316" t="s">
        <v>1095</v>
      </c>
      <c r="F902" s="316" t="s">
        <v>149</v>
      </c>
      <c r="G902" s="321">
        <f>4020</f>
        <v>4020</v>
      </c>
      <c r="H902" s="321">
        <f t="shared" si="67"/>
        <v>4020</v>
      </c>
      <c r="I902" s="211"/>
    </row>
    <row r="903" spans="1:9" ht="31.5" x14ac:dyDescent="0.25">
      <c r="A903" s="323" t="s">
        <v>1003</v>
      </c>
      <c r="B903" s="314">
        <v>908</v>
      </c>
      <c r="C903" s="316" t="s">
        <v>249</v>
      </c>
      <c r="D903" s="316" t="s">
        <v>133</v>
      </c>
      <c r="E903" s="316" t="s">
        <v>1096</v>
      </c>
      <c r="F903" s="319"/>
      <c r="G903" s="321">
        <f>G904</f>
        <v>1140</v>
      </c>
      <c r="H903" s="321">
        <f>H904</f>
        <v>1140</v>
      </c>
      <c r="I903" s="211"/>
    </row>
    <row r="904" spans="1:9" ht="31.5" x14ac:dyDescent="0.25">
      <c r="A904" s="320" t="s">
        <v>146</v>
      </c>
      <c r="B904" s="314">
        <v>908</v>
      </c>
      <c r="C904" s="316" t="s">
        <v>249</v>
      </c>
      <c r="D904" s="316" t="s">
        <v>133</v>
      </c>
      <c r="E904" s="316" t="s">
        <v>1096</v>
      </c>
      <c r="F904" s="316" t="s">
        <v>147</v>
      </c>
      <c r="G904" s="321">
        <f>G905</f>
        <v>1140</v>
      </c>
      <c r="H904" s="321">
        <f>H905</f>
        <v>1140</v>
      </c>
      <c r="I904" s="211"/>
    </row>
    <row r="905" spans="1:9" ht="31.5" x14ac:dyDescent="0.25">
      <c r="A905" s="320" t="s">
        <v>148</v>
      </c>
      <c r="B905" s="314">
        <v>908</v>
      </c>
      <c r="C905" s="316" t="s">
        <v>249</v>
      </c>
      <c r="D905" s="316" t="s">
        <v>133</v>
      </c>
      <c r="E905" s="316" t="s">
        <v>1096</v>
      </c>
      <c r="F905" s="316" t="s">
        <v>149</v>
      </c>
      <c r="G905" s="321">
        <f>1140</f>
        <v>1140</v>
      </c>
      <c r="H905" s="321">
        <f t="shared" si="67"/>
        <v>1140</v>
      </c>
      <c r="I905" s="211"/>
    </row>
    <row r="906" spans="1:9" ht="15.75" x14ac:dyDescent="0.25">
      <c r="A906" s="318" t="s">
        <v>532</v>
      </c>
      <c r="B906" s="315">
        <v>908</v>
      </c>
      <c r="C906" s="319" t="s">
        <v>249</v>
      </c>
      <c r="D906" s="319" t="s">
        <v>228</v>
      </c>
      <c r="E906" s="319"/>
      <c r="F906" s="319"/>
      <c r="G906" s="317">
        <f>G907+G936+G965</f>
        <v>5934.9998000000014</v>
      </c>
      <c r="H906" s="317">
        <f>H907+H936+H965</f>
        <v>4693.3998000000011</v>
      </c>
      <c r="I906" s="211"/>
    </row>
    <row r="907" spans="1:9" ht="15.75" x14ac:dyDescent="0.25">
      <c r="A907" s="318" t="s">
        <v>156</v>
      </c>
      <c r="B907" s="315">
        <v>908</v>
      </c>
      <c r="C907" s="319" t="s">
        <v>249</v>
      </c>
      <c r="D907" s="319" t="s">
        <v>228</v>
      </c>
      <c r="E907" s="319" t="s">
        <v>910</v>
      </c>
      <c r="F907" s="319"/>
      <c r="G907" s="317">
        <f>G908+G919</f>
        <v>4999.9998000000014</v>
      </c>
      <c r="H907" s="317">
        <f>H908+H919</f>
        <v>3789.3998000000011</v>
      </c>
      <c r="I907" s="211"/>
    </row>
    <row r="908" spans="1:9" ht="31.5" x14ac:dyDescent="0.25">
      <c r="A908" s="318" t="s">
        <v>914</v>
      </c>
      <c r="B908" s="315">
        <v>908</v>
      </c>
      <c r="C908" s="319" t="s">
        <v>249</v>
      </c>
      <c r="D908" s="319" t="s">
        <v>228</v>
      </c>
      <c r="E908" s="319" t="s">
        <v>909</v>
      </c>
      <c r="F908" s="319"/>
      <c r="G908" s="317">
        <f>G909+G914</f>
        <v>5000</v>
      </c>
      <c r="H908" s="317">
        <f>H909+H914</f>
        <v>3789.4</v>
      </c>
      <c r="I908" s="211"/>
    </row>
    <row r="909" spans="1:9" ht="15.75" hidden="1" x14ac:dyDescent="0.25">
      <c r="A909" s="35" t="s">
        <v>552</v>
      </c>
      <c r="B909" s="314">
        <v>908</v>
      </c>
      <c r="C909" s="316" t="s">
        <v>249</v>
      </c>
      <c r="D909" s="316" t="s">
        <v>228</v>
      </c>
      <c r="E909" s="316" t="s">
        <v>1113</v>
      </c>
      <c r="F909" s="316"/>
      <c r="G909" s="321">
        <f>G910+G912</f>
        <v>0</v>
      </c>
      <c r="H909" s="321">
        <f t="shared" si="67"/>
        <v>0</v>
      </c>
      <c r="I909" s="211"/>
    </row>
    <row r="910" spans="1:9" ht="31.5" hidden="1" x14ac:dyDescent="0.25">
      <c r="A910" s="320" t="s">
        <v>146</v>
      </c>
      <c r="B910" s="314">
        <v>908</v>
      </c>
      <c r="C910" s="316" t="s">
        <v>249</v>
      </c>
      <c r="D910" s="316" t="s">
        <v>228</v>
      </c>
      <c r="E910" s="316" t="s">
        <v>1113</v>
      </c>
      <c r="F910" s="316" t="s">
        <v>147</v>
      </c>
      <c r="G910" s="321">
        <f>G911</f>
        <v>0</v>
      </c>
      <c r="H910" s="321">
        <f t="shared" si="67"/>
        <v>0</v>
      </c>
      <c r="I910" s="211"/>
    </row>
    <row r="911" spans="1:9" ht="31.5" hidden="1" x14ac:dyDescent="0.25">
      <c r="A911" s="320" t="s">
        <v>148</v>
      </c>
      <c r="B911" s="314">
        <v>908</v>
      </c>
      <c r="C911" s="316" t="s">
        <v>249</v>
      </c>
      <c r="D911" s="316" t="s">
        <v>228</v>
      </c>
      <c r="E911" s="316" t="s">
        <v>1113</v>
      </c>
      <c r="F911" s="316" t="s">
        <v>149</v>
      </c>
      <c r="G911" s="321">
        <v>0</v>
      </c>
      <c r="H911" s="321">
        <f t="shared" si="67"/>
        <v>0</v>
      </c>
      <c r="I911" s="211"/>
    </row>
    <row r="912" spans="1:9" ht="15.75" hidden="1" x14ac:dyDescent="0.25">
      <c r="A912" s="320" t="s">
        <v>150</v>
      </c>
      <c r="B912" s="314">
        <v>908</v>
      </c>
      <c r="C912" s="316" t="s">
        <v>249</v>
      </c>
      <c r="D912" s="316" t="s">
        <v>228</v>
      </c>
      <c r="E912" s="316" t="s">
        <v>1113</v>
      </c>
      <c r="F912" s="316" t="s">
        <v>160</v>
      </c>
      <c r="G912" s="321">
        <f>G913</f>
        <v>0</v>
      </c>
      <c r="H912" s="321">
        <f t="shared" si="67"/>
        <v>0</v>
      </c>
      <c r="I912" s="211"/>
    </row>
    <row r="913" spans="1:9" ht="47.25" hidden="1" x14ac:dyDescent="0.25">
      <c r="A913" s="320" t="s">
        <v>199</v>
      </c>
      <c r="B913" s="314">
        <v>908</v>
      </c>
      <c r="C913" s="316" t="s">
        <v>249</v>
      </c>
      <c r="D913" s="316" t="s">
        <v>228</v>
      </c>
      <c r="E913" s="316" t="s">
        <v>1113</v>
      </c>
      <c r="F913" s="316" t="s">
        <v>175</v>
      </c>
      <c r="G913" s="321">
        <f>'Пр.4 ведом.20'!G1035</f>
        <v>0</v>
      </c>
      <c r="H913" s="321">
        <f t="shared" si="67"/>
        <v>0</v>
      </c>
      <c r="I913" s="211"/>
    </row>
    <row r="914" spans="1:9" ht="31.5" x14ac:dyDescent="0.25">
      <c r="A914" s="323" t="s">
        <v>1003</v>
      </c>
      <c r="B914" s="314">
        <v>908</v>
      </c>
      <c r="C914" s="316" t="s">
        <v>249</v>
      </c>
      <c r="D914" s="316" t="s">
        <v>228</v>
      </c>
      <c r="E914" s="316" t="s">
        <v>1096</v>
      </c>
      <c r="F914" s="316"/>
      <c r="G914" s="321">
        <f>G915</f>
        <v>5000</v>
      </c>
      <c r="H914" s="321">
        <f>H915</f>
        <v>3789.4</v>
      </c>
      <c r="I914" s="211"/>
    </row>
    <row r="915" spans="1:9" ht="31.5" x14ac:dyDescent="0.25">
      <c r="A915" s="320" t="s">
        <v>146</v>
      </c>
      <c r="B915" s="314">
        <v>908</v>
      </c>
      <c r="C915" s="316" t="s">
        <v>249</v>
      </c>
      <c r="D915" s="316" t="s">
        <v>228</v>
      </c>
      <c r="E915" s="316" t="s">
        <v>1096</v>
      </c>
      <c r="F915" s="316" t="s">
        <v>147</v>
      </c>
      <c r="G915" s="321">
        <f>G916</f>
        <v>5000</v>
      </c>
      <c r="H915" s="321">
        <f>H916</f>
        <v>3789.4</v>
      </c>
      <c r="I915" s="211"/>
    </row>
    <row r="916" spans="1:9" ht="31.5" x14ac:dyDescent="0.25">
      <c r="A916" s="320" t="s">
        <v>148</v>
      </c>
      <c r="B916" s="314">
        <v>908</v>
      </c>
      <c r="C916" s="316" t="s">
        <v>249</v>
      </c>
      <c r="D916" s="316" t="s">
        <v>228</v>
      </c>
      <c r="E916" s="316" t="s">
        <v>1096</v>
      </c>
      <c r="F916" s="316" t="s">
        <v>149</v>
      </c>
      <c r="G916" s="321">
        <f>5000</f>
        <v>5000</v>
      </c>
      <c r="H916" s="321">
        <f>G916-1210.6</f>
        <v>3789.4</v>
      </c>
      <c r="I916" s="211"/>
    </row>
    <row r="917" spans="1:9" ht="15.75" hidden="1" x14ac:dyDescent="0.25">
      <c r="A917" s="320" t="s">
        <v>150</v>
      </c>
      <c r="B917" s="314">
        <v>908</v>
      </c>
      <c r="C917" s="316" t="s">
        <v>249</v>
      </c>
      <c r="D917" s="316" t="s">
        <v>228</v>
      </c>
      <c r="E917" s="316" t="s">
        <v>1096</v>
      </c>
      <c r="F917" s="316" t="s">
        <v>160</v>
      </c>
      <c r="G917" s="321">
        <f>'Пр.4 ведом.20'!G1040</f>
        <v>0</v>
      </c>
      <c r="H917" s="321">
        <f t="shared" si="67"/>
        <v>0</v>
      </c>
      <c r="I917" s="211"/>
    </row>
    <row r="918" spans="1:9" ht="15.75" hidden="1" x14ac:dyDescent="0.25">
      <c r="A918" s="320" t="s">
        <v>161</v>
      </c>
      <c r="B918" s="314">
        <v>908</v>
      </c>
      <c r="C918" s="316" t="s">
        <v>249</v>
      </c>
      <c r="D918" s="316" t="s">
        <v>228</v>
      </c>
      <c r="E918" s="316" t="s">
        <v>1096</v>
      </c>
      <c r="F918" s="316" t="s">
        <v>162</v>
      </c>
      <c r="G918" s="321">
        <f>'Пр.4 ведом.20'!G1041</f>
        <v>0</v>
      </c>
      <c r="H918" s="321">
        <f t="shared" si="67"/>
        <v>0</v>
      </c>
      <c r="I918" s="211"/>
    </row>
    <row r="919" spans="1:9" ht="47.25" hidden="1" x14ac:dyDescent="0.25">
      <c r="A919" s="318" t="s">
        <v>1169</v>
      </c>
      <c r="B919" s="315">
        <v>908</v>
      </c>
      <c r="C919" s="319" t="s">
        <v>249</v>
      </c>
      <c r="D919" s="319" t="s">
        <v>228</v>
      </c>
      <c r="E919" s="319" t="s">
        <v>1114</v>
      </c>
      <c r="F919" s="319"/>
      <c r="G919" s="317">
        <f>G920+G928+G925+G933</f>
        <v>-1.9999999881292752E-4</v>
      </c>
      <c r="H919" s="317">
        <f>H920+H928+H925+H933</f>
        <v>-1.9999999881292752E-4</v>
      </c>
      <c r="I919" s="211"/>
    </row>
    <row r="920" spans="1:9" ht="47.25" hidden="1" x14ac:dyDescent="0.25">
      <c r="A920" s="320" t="s">
        <v>871</v>
      </c>
      <c r="B920" s="314">
        <v>908</v>
      </c>
      <c r="C920" s="316" t="s">
        <v>249</v>
      </c>
      <c r="D920" s="316" t="s">
        <v>228</v>
      </c>
      <c r="E920" s="316" t="s">
        <v>1115</v>
      </c>
      <c r="F920" s="316"/>
      <c r="G920" s="321">
        <f>G921+G923</f>
        <v>-1.9999999881292752E-4</v>
      </c>
      <c r="H920" s="321">
        <f t="shared" ref="H920:H987" si="71">G920</f>
        <v>-1.9999999881292752E-4</v>
      </c>
      <c r="I920" s="211"/>
    </row>
    <row r="921" spans="1:9" ht="31.5" hidden="1" x14ac:dyDescent="0.25">
      <c r="A921" s="320" t="s">
        <v>146</v>
      </c>
      <c r="B921" s="314">
        <v>908</v>
      </c>
      <c r="C921" s="316" t="s">
        <v>249</v>
      </c>
      <c r="D921" s="316" t="s">
        <v>228</v>
      </c>
      <c r="E921" s="316" t="s">
        <v>1115</v>
      </c>
      <c r="F921" s="316" t="s">
        <v>147</v>
      </c>
      <c r="G921" s="321">
        <f>G922</f>
        <v>0</v>
      </c>
      <c r="H921" s="321">
        <f t="shared" si="71"/>
        <v>0</v>
      </c>
      <c r="I921" s="211"/>
    </row>
    <row r="922" spans="1:9" ht="31.5" hidden="1" x14ac:dyDescent="0.25">
      <c r="A922" s="320" t="s">
        <v>148</v>
      </c>
      <c r="B922" s="314">
        <v>908</v>
      </c>
      <c r="C922" s="316" t="s">
        <v>249</v>
      </c>
      <c r="D922" s="316" t="s">
        <v>228</v>
      </c>
      <c r="E922" s="316" t="s">
        <v>1115</v>
      </c>
      <c r="F922" s="316" t="s">
        <v>149</v>
      </c>
      <c r="G922" s="321">
        <v>0</v>
      </c>
      <c r="H922" s="321">
        <f t="shared" si="71"/>
        <v>0</v>
      </c>
      <c r="I922" s="211"/>
    </row>
    <row r="923" spans="1:9" ht="15.75" hidden="1" x14ac:dyDescent="0.25">
      <c r="A923" s="320" t="s">
        <v>150</v>
      </c>
      <c r="B923" s="314">
        <v>908</v>
      </c>
      <c r="C923" s="316" t="s">
        <v>249</v>
      </c>
      <c r="D923" s="316" t="s">
        <v>228</v>
      </c>
      <c r="E923" s="316" t="s">
        <v>1115</v>
      </c>
      <c r="F923" s="316" t="s">
        <v>881</v>
      </c>
      <c r="G923" s="321">
        <f>'Пр.4 ведом.20'!G1049</f>
        <v>-1.9999999881292752E-4</v>
      </c>
      <c r="H923" s="321">
        <f t="shared" si="71"/>
        <v>-1.9999999881292752E-4</v>
      </c>
      <c r="I923" s="211"/>
    </row>
    <row r="924" spans="1:9" ht="15.75" hidden="1" x14ac:dyDescent="0.25">
      <c r="A924" s="320" t="s">
        <v>583</v>
      </c>
      <c r="B924" s="314">
        <v>908</v>
      </c>
      <c r="C924" s="316" t="s">
        <v>249</v>
      </c>
      <c r="D924" s="316" t="s">
        <v>228</v>
      </c>
      <c r="E924" s="316" t="s">
        <v>1115</v>
      </c>
      <c r="F924" s="316" t="s">
        <v>1244</v>
      </c>
      <c r="G924" s="321">
        <v>0</v>
      </c>
      <c r="H924" s="321">
        <f t="shared" si="71"/>
        <v>0</v>
      </c>
      <c r="I924" s="211"/>
    </row>
    <row r="925" spans="1:9" ht="63" hidden="1" x14ac:dyDescent="0.25">
      <c r="A925" s="320" t="s">
        <v>822</v>
      </c>
      <c r="B925" s="314">
        <v>908</v>
      </c>
      <c r="C925" s="316" t="s">
        <v>249</v>
      </c>
      <c r="D925" s="316" t="s">
        <v>228</v>
      </c>
      <c r="E925" s="316" t="s">
        <v>1116</v>
      </c>
      <c r="F925" s="316"/>
      <c r="G925" s="321">
        <f>'Пр.4 ведом.20'!G1051</f>
        <v>0</v>
      </c>
      <c r="H925" s="321">
        <f t="shared" si="71"/>
        <v>0</v>
      </c>
      <c r="I925" s="211"/>
    </row>
    <row r="926" spans="1:9" ht="31.5" hidden="1" x14ac:dyDescent="0.25">
      <c r="A926" s="320" t="s">
        <v>146</v>
      </c>
      <c r="B926" s="314">
        <v>908</v>
      </c>
      <c r="C926" s="316" t="s">
        <v>249</v>
      </c>
      <c r="D926" s="316" t="s">
        <v>228</v>
      </c>
      <c r="E926" s="316" t="s">
        <v>1116</v>
      </c>
      <c r="F926" s="316" t="s">
        <v>147</v>
      </c>
      <c r="G926" s="321">
        <f>'Пр.4 ведом.20'!G1052</f>
        <v>0</v>
      </c>
      <c r="H926" s="321">
        <f t="shared" si="71"/>
        <v>0</v>
      </c>
      <c r="I926" s="211"/>
    </row>
    <row r="927" spans="1:9" ht="31.5" hidden="1" x14ac:dyDescent="0.25">
      <c r="A927" s="320" t="s">
        <v>148</v>
      </c>
      <c r="B927" s="314">
        <v>908</v>
      </c>
      <c r="C927" s="316" t="s">
        <v>249</v>
      </c>
      <c r="D927" s="316" t="s">
        <v>228</v>
      </c>
      <c r="E927" s="316" t="s">
        <v>1116</v>
      </c>
      <c r="F927" s="316" t="s">
        <v>149</v>
      </c>
      <c r="G927" s="321">
        <f>'Пр.4 ведом.20'!G1053</f>
        <v>0</v>
      </c>
      <c r="H927" s="321">
        <f t="shared" si="71"/>
        <v>0</v>
      </c>
      <c r="I927" s="211"/>
    </row>
    <row r="928" spans="1:9" ht="47.25" hidden="1" x14ac:dyDescent="0.25">
      <c r="A928" s="98" t="s">
        <v>877</v>
      </c>
      <c r="B928" s="314">
        <v>908</v>
      </c>
      <c r="C928" s="316" t="s">
        <v>249</v>
      </c>
      <c r="D928" s="316" t="s">
        <v>228</v>
      </c>
      <c r="E928" s="316" t="s">
        <v>1117</v>
      </c>
      <c r="F928" s="316"/>
      <c r="G928" s="321">
        <f>'Пр.4 ведом.20'!G1054</f>
        <v>0</v>
      </c>
      <c r="H928" s="321">
        <f t="shared" si="71"/>
        <v>0</v>
      </c>
      <c r="I928" s="211"/>
    </row>
    <row r="929" spans="1:9" ht="31.5" hidden="1" x14ac:dyDescent="0.25">
      <c r="A929" s="320" t="s">
        <v>882</v>
      </c>
      <c r="B929" s="314">
        <v>908</v>
      </c>
      <c r="C929" s="316" t="s">
        <v>249</v>
      </c>
      <c r="D929" s="316" t="s">
        <v>228</v>
      </c>
      <c r="E929" s="316" t="s">
        <v>1117</v>
      </c>
      <c r="F929" s="316" t="s">
        <v>881</v>
      </c>
      <c r="G929" s="321">
        <f>'Пр.4 ведом.20'!G1055</f>
        <v>0</v>
      </c>
      <c r="H929" s="321">
        <f t="shared" si="71"/>
        <v>0</v>
      </c>
      <c r="I929" s="211"/>
    </row>
    <row r="930" spans="1:9" ht="63" hidden="1" x14ac:dyDescent="0.25">
      <c r="A930" s="320" t="s">
        <v>1222</v>
      </c>
      <c r="B930" s="314">
        <v>908</v>
      </c>
      <c r="C930" s="316" t="s">
        <v>249</v>
      </c>
      <c r="D930" s="316" t="s">
        <v>228</v>
      </c>
      <c r="E930" s="316" t="s">
        <v>1117</v>
      </c>
      <c r="F930" s="316" t="s">
        <v>1244</v>
      </c>
      <c r="G930" s="321">
        <f>'Пр.4 ведом.20'!G1056</f>
        <v>0</v>
      </c>
      <c r="H930" s="321">
        <f t="shared" si="71"/>
        <v>0</v>
      </c>
      <c r="I930" s="211"/>
    </row>
    <row r="931" spans="1:9" ht="15.75" hidden="1" x14ac:dyDescent="0.25">
      <c r="A931" s="320" t="s">
        <v>150</v>
      </c>
      <c r="B931" s="314">
        <v>908</v>
      </c>
      <c r="C931" s="316" t="s">
        <v>249</v>
      </c>
      <c r="D931" s="316" t="s">
        <v>228</v>
      </c>
      <c r="E931" s="316" t="s">
        <v>1117</v>
      </c>
      <c r="F931" s="316" t="s">
        <v>160</v>
      </c>
      <c r="G931" s="321">
        <f>'Пр.4 ведом.20'!G1057</f>
        <v>0</v>
      </c>
      <c r="H931" s="321">
        <f t="shared" si="71"/>
        <v>0</v>
      </c>
      <c r="I931" s="211"/>
    </row>
    <row r="932" spans="1:9" ht="15.75" hidden="1" x14ac:dyDescent="0.25">
      <c r="A932" s="320" t="s">
        <v>725</v>
      </c>
      <c r="B932" s="314">
        <v>908</v>
      </c>
      <c r="C932" s="316" t="s">
        <v>249</v>
      </c>
      <c r="D932" s="316" t="s">
        <v>228</v>
      </c>
      <c r="E932" s="316" t="s">
        <v>1117</v>
      </c>
      <c r="F932" s="316" t="s">
        <v>153</v>
      </c>
      <c r="G932" s="321">
        <f>'Пр.4 ведом.20'!G1058</f>
        <v>0</v>
      </c>
      <c r="H932" s="321">
        <f t="shared" si="71"/>
        <v>0</v>
      </c>
      <c r="I932" s="211"/>
    </row>
    <row r="933" spans="1:9" ht="31.5" hidden="1" x14ac:dyDescent="0.25">
      <c r="A933" s="320" t="s">
        <v>1245</v>
      </c>
      <c r="B933" s="314">
        <v>908</v>
      </c>
      <c r="C933" s="316" t="s">
        <v>249</v>
      </c>
      <c r="D933" s="316" t="s">
        <v>228</v>
      </c>
      <c r="E933" s="316" t="s">
        <v>1246</v>
      </c>
      <c r="F933" s="316"/>
      <c r="G933" s="321">
        <f>'Пр.4 ведом.20'!G1059</f>
        <v>0</v>
      </c>
      <c r="H933" s="321">
        <f t="shared" si="71"/>
        <v>0</v>
      </c>
      <c r="I933" s="211"/>
    </row>
    <row r="934" spans="1:9" ht="31.5" hidden="1" x14ac:dyDescent="0.25">
      <c r="A934" s="320" t="s">
        <v>146</v>
      </c>
      <c r="B934" s="314">
        <v>908</v>
      </c>
      <c r="C934" s="316" t="s">
        <v>249</v>
      </c>
      <c r="D934" s="316" t="s">
        <v>228</v>
      </c>
      <c r="E934" s="316" t="s">
        <v>1246</v>
      </c>
      <c r="F934" s="316" t="s">
        <v>147</v>
      </c>
      <c r="G934" s="321">
        <f>'Пр.4 ведом.20'!G1060</f>
        <v>0</v>
      </c>
      <c r="H934" s="321">
        <f t="shared" si="71"/>
        <v>0</v>
      </c>
      <c r="I934" s="211"/>
    </row>
    <row r="935" spans="1:9" ht="31.5" hidden="1" x14ac:dyDescent="0.25">
      <c r="A935" s="320" t="s">
        <v>148</v>
      </c>
      <c r="B935" s="314">
        <v>908</v>
      </c>
      <c r="C935" s="316" t="s">
        <v>249</v>
      </c>
      <c r="D935" s="316" t="s">
        <v>228</v>
      </c>
      <c r="E935" s="316" t="s">
        <v>1246</v>
      </c>
      <c r="F935" s="316" t="s">
        <v>149</v>
      </c>
      <c r="G935" s="321">
        <f>'Пр.4 ведом.20'!G1061</f>
        <v>0</v>
      </c>
      <c r="H935" s="321">
        <f t="shared" si="71"/>
        <v>0</v>
      </c>
      <c r="I935" s="211"/>
    </row>
    <row r="936" spans="1:9" ht="63" x14ac:dyDescent="0.25">
      <c r="A936" s="318" t="s">
        <v>1348</v>
      </c>
      <c r="B936" s="315">
        <v>908</v>
      </c>
      <c r="C936" s="319" t="s">
        <v>249</v>
      </c>
      <c r="D936" s="319" t="s">
        <v>228</v>
      </c>
      <c r="E936" s="319" t="s">
        <v>533</v>
      </c>
      <c r="F936" s="319"/>
      <c r="G936" s="317">
        <f>G937+G941+G945+G949+G961+G957</f>
        <v>700</v>
      </c>
      <c r="H936" s="317">
        <f>H937+H941+H945+H949+H961+H957</f>
        <v>700</v>
      </c>
      <c r="I936" s="211"/>
    </row>
    <row r="937" spans="1:9" ht="31.5" x14ac:dyDescent="0.25">
      <c r="A937" s="318" t="s">
        <v>1097</v>
      </c>
      <c r="B937" s="315">
        <v>908</v>
      </c>
      <c r="C937" s="319" t="s">
        <v>249</v>
      </c>
      <c r="D937" s="319" t="s">
        <v>228</v>
      </c>
      <c r="E937" s="319" t="s">
        <v>1099</v>
      </c>
      <c r="F937" s="319"/>
      <c r="G937" s="317">
        <f t="shared" ref="G937:H939" si="72">G938</f>
        <v>700</v>
      </c>
      <c r="H937" s="317">
        <f t="shared" si="72"/>
        <v>700</v>
      </c>
      <c r="I937" s="211"/>
    </row>
    <row r="938" spans="1:9" ht="15.75" x14ac:dyDescent="0.25">
      <c r="A938" s="45" t="s">
        <v>1098</v>
      </c>
      <c r="B938" s="314">
        <v>908</v>
      </c>
      <c r="C938" s="324" t="s">
        <v>249</v>
      </c>
      <c r="D938" s="324" t="s">
        <v>228</v>
      </c>
      <c r="E938" s="316" t="s">
        <v>1100</v>
      </c>
      <c r="F938" s="324"/>
      <c r="G938" s="321">
        <f t="shared" si="72"/>
        <v>700</v>
      </c>
      <c r="H938" s="321">
        <f t="shared" si="72"/>
        <v>700</v>
      </c>
      <c r="I938" s="211"/>
    </row>
    <row r="939" spans="1:9" ht="31.5" x14ac:dyDescent="0.25">
      <c r="A939" s="31" t="s">
        <v>146</v>
      </c>
      <c r="B939" s="314">
        <v>908</v>
      </c>
      <c r="C939" s="324" t="s">
        <v>249</v>
      </c>
      <c r="D939" s="324" t="s">
        <v>228</v>
      </c>
      <c r="E939" s="316" t="s">
        <v>1100</v>
      </c>
      <c r="F939" s="324" t="s">
        <v>147</v>
      </c>
      <c r="G939" s="321">
        <f t="shared" si="72"/>
        <v>700</v>
      </c>
      <c r="H939" s="321">
        <f t="shared" si="72"/>
        <v>700</v>
      </c>
      <c r="I939" s="211"/>
    </row>
    <row r="940" spans="1:9" ht="31.5" x14ac:dyDescent="0.25">
      <c r="A940" s="31" t="s">
        <v>148</v>
      </c>
      <c r="B940" s="314">
        <v>908</v>
      </c>
      <c r="C940" s="324" t="s">
        <v>249</v>
      </c>
      <c r="D940" s="324" t="s">
        <v>228</v>
      </c>
      <c r="E940" s="316" t="s">
        <v>1100</v>
      </c>
      <c r="F940" s="324" t="s">
        <v>149</v>
      </c>
      <c r="G940" s="321">
        <v>700</v>
      </c>
      <c r="H940" s="321">
        <v>700</v>
      </c>
      <c r="I940" s="211"/>
    </row>
    <row r="941" spans="1:9" ht="31.5" hidden="1" x14ac:dyDescent="0.25">
      <c r="A941" s="34" t="s">
        <v>1101</v>
      </c>
      <c r="B941" s="315">
        <v>908</v>
      </c>
      <c r="C941" s="312" t="s">
        <v>249</v>
      </c>
      <c r="D941" s="312" t="s">
        <v>228</v>
      </c>
      <c r="E941" s="319" t="s">
        <v>1102</v>
      </c>
      <c r="F941" s="312"/>
      <c r="G941" s="317">
        <f>G942</f>
        <v>0</v>
      </c>
      <c r="H941" s="317">
        <f>H942</f>
        <v>0</v>
      </c>
      <c r="I941" s="211"/>
    </row>
    <row r="942" spans="1:9" ht="15.75" hidden="1" x14ac:dyDescent="0.25">
      <c r="A942" s="45" t="s">
        <v>538</v>
      </c>
      <c r="B942" s="314">
        <v>908</v>
      </c>
      <c r="C942" s="324" t="s">
        <v>249</v>
      </c>
      <c r="D942" s="324" t="s">
        <v>228</v>
      </c>
      <c r="E942" s="316" t="s">
        <v>1105</v>
      </c>
      <c r="F942" s="324"/>
      <c r="G942" s="321">
        <f>G943</f>
        <v>0</v>
      </c>
      <c r="H942" s="321">
        <f t="shared" si="71"/>
        <v>0</v>
      </c>
      <c r="I942" s="211"/>
    </row>
    <row r="943" spans="1:9" ht="31.5" hidden="1" x14ac:dyDescent="0.25">
      <c r="A943" s="31" t="s">
        <v>146</v>
      </c>
      <c r="B943" s="314">
        <v>908</v>
      </c>
      <c r="C943" s="324" t="s">
        <v>249</v>
      </c>
      <c r="D943" s="324" t="s">
        <v>228</v>
      </c>
      <c r="E943" s="316" t="s">
        <v>1105</v>
      </c>
      <c r="F943" s="324" t="s">
        <v>147</v>
      </c>
      <c r="G943" s="321">
        <f>G944</f>
        <v>0</v>
      </c>
      <c r="H943" s="321">
        <f t="shared" si="71"/>
        <v>0</v>
      </c>
      <c r="I943" s="211"/>
    </row>
    <row r="944" spans="1:9" ht="31.5" hidden="1" x14ac:dyDescent="0.25">
      <c r="A944" s="31" t="s">
        <v>148</v>
      </c>
      <c r="B944" s="314">
        <v>908</v>
      </c>
      <c r="C944" s="324" t="s">
        <v>249</v>
      </c>
      <c r="D944" s="324" t="s">
        <v>228</v>
      </c>
      <c r="E944" s="316" t="s">
        <v>1105</v>
      </c>
      <c r="F944" s="324" t="s">
        <v>149</v>
      </c>
      <c r="G944" s="321">
        <v>0</v>
      </c>
      <c r="H944" s="321">
        <f t="shared" si="71"/>
        <v>0</v>
      </c>
      <c r="I944" s="211"/>
    </row>
    <row r="945" spans="1:9" ht="31.5" hidden="1" x14ac:dyDescent="0.25">
      <c r="A945" s="58" t="s">
        <v>1103</v>
      </c>
      <c r="B945" s="315">
        <v>908</v>
      </c>
      <c r="C945" s="312" t="s">
        <v>249</v>
      </c>
      <c r="D945" s="312" t="s">
        <v>228</v>
      </c>
      <c r="E945" s="319" t="s">
        <v>1104</v>
      </c>
      <c r="F945" s="312"/>
      <c r="G945" s="4">
        <f>G946</f>
        <v>0</v>
      </c>
      <c r="H945" s="4">
        <f>H946</f>
        <v>0</v>
      </c>
      <c r="I945" s="211"/>
    </row>
    <row r="946" spans="1:9" ht="15.75" hidden="1" x14ac:dyDescent="0.25">
      <c r="A946" s="45" t="s">
        <v>540</v>
      </c>
      <c r="B946" s="314">
        <v>908</v>
      </c>
      <c r="C946" s="324" t="s">
        <v>249</v>
      </c>
      <c r="D946" s="324" t="s">
        <v>228</v>
      </c>
      <c r="E946" s="316" t="s">
        <v>1106</v>
      </c>
      <c r="F946" s="324"/>
      <c r="G946" s="321">
        <f>'Пр.4 ведом.20'!G1072</f>
        <v>0</v>
      </c>
      <c r="H946" s="321">
        <f t="shared" si="71"/>
        <v>0</v>
      </c>
      <c r="I946" s="211"/>
    </row>
    <row r="947" spans="1:9" ht="31.5" hidden="1" x14ac:dyDescent="0.25">
      <c r="A947" s="31" t="s">
        <v>146</v>
      </c>
      <c r="B947" s="314">
        <v>908</v>
      </c>
      <c r="C947" s="324" t="s">
        <v>249</v>
      </c>
      <c r="D947" s="324" t="s">
        <v>228</v>
      </c>
      <c r="E947" s="316" t="s">
        <v>1106</v>
      </c>
      <c r="F947" s="324" t="s">
        <v>147</v>
      </c>
      <c r="G947" s="321">
        <f>'Пр.4 ведом.20'!G1073</f>
        <v>0</v>
      </c>
      <c r="H947" s="321">
        <f t="shared" si="71"/>
        <v>0</v>
      </c>
      <c r="I947" s="211"/>
    </row>
    <row r="948" spans="1:9" ht="31.5" hidden="1" x14ac:dyDescent="0.25">
      <c r="A948" s="31" t="s">
        <v>148</v>
      </c>
      <c r="B948" s="314">
        <v>908</v>
      </c>
      <c r="C948" s="324" t="s">
        <v>249</v>
      </c>
      <c r="D948" s="324" t="s">
        <v>228</v>
      </c>
      <c r="E948" s="316" t="s">
        <v>1106</v>
      </c>
      <c r="F948" s="324" t="s">
        <v>149</v>
      </c>
      <c r="G948" s="321">
        <f>'Пр.4 ведом.20'!G1074</f>
        <v>0</v>
      </c>
      <c r="H948" s="321">
        <f t="shared" si="71"/>
        <v>0</v>
      </c>
      <c r="I948" s="211"/>
    </row>
    <row r="949" spans="1:9" ht="31.5" hidden="1" x14ac:dyDescent="0.25">
      <c r="A949" s="58" t="s">
        <v>1107</v>
      </c>
      <c r="B949" s="315">
        <v>908</v>
      </c>
      <c r="C949" s="312" t="s">
        <v>249</v>
      </c>
      <c r="D949" s="312" t="s">
        <v>228</v>
      </c>
      <c r="E949" s="319" t="s">
        <v>1108</v>
      </c>
      <c r="F949" s="312"/>
      <c r="G949" s="4">
        <f t="shared" ref="G949:H951" si="73">G950</f>
        <v>0</v>
      </c>
      <c r="H949" s="4">
        <f t="shared" si="73"/>
        <v>0</v>
      </c>
      <c r="I949" s="211"/>
    </row>
    <row r="950" spans="1:9" ht="15.75" hidden="1" x14ac:dyDescent="0.25">
      <c r="A950" s="45" t="s">
        <v>542</v>
      </c>
      <c r="B950" s="314">
        <v>908</v>
      </c>
      <c r="C950" s="324" t="s">
        <v>249</v>
      </c>
      <c r="D950" s="324" t="s">
        <v>228</v>
      </c>
      <c r="E950" s="316" t="s">
        <v>1109</v>
      </c>
      <c r="F950" s="324"/>
      <c r="G950" s="321">
        <f t="shared" si="73"/>
        <v>0</v>
      </c>
      <c r="H950" s="321">
        <f t="shared" si="73"/>
        <v>0</v>
      </c>
      <c r="I950" s="211"/>
    </row>
    <row r="951" spans="1:9" ht="31.5" hidden="1" x14ac:dyDescent="0.25">
      <c r="A951" s="31" t="s">
        <v>146</v>
      </c>
      <c r="B951" s="314">
        <v>908</v>
      </c>
      <c r="C951" s="324" t="s">
        <v>249</v>
      </c>
      <c r="D951" s="324" t="s">
        <v>228</v>
      </c>
      <c r="E951" s="316" t="s">
        <v>1109</v>
      </c>
      <c r="F951" s="324" t="s">
        <v>147</v>
      </c>
      <c r="G951" s="321">
        <f t="shared" si="73"/>
        <v>0</v>
      </c>
      <c r="H951" s="321">
        <f t="shared" si="73"/>
        <v>0</v>
      </c>
      <c r="I951" s="211"/>
    </row>
    <row r="952" spans="1:9" ht="31.5" hidden="1" x14ac:dyDescent="0.25">
      <c r="A952" s="31" t="s">
        <v>148</v>
      </c>
      <c r="B952" s="314">
        <v>908</v>
      </c>
      <c r="C952" s="324" t="s">
        <v>249</v>
      </c>
      <c r="D952" s="324" t="s">
        <v>228</v>
      </c>
      <c r="E952" s="316" t="s">
        <v>1109</v>
      </c>
      <c r="F952" s="324" t="s">
        <v>149</v>
      </c>
      <c r="G952" s="321">
        <v>0</v>
      </c>
      <c r="H952" s="321">
        <v>0</v>
      </c>
      <c r="I952" s="211"/>
    </row>
    <row r="953" spans="1:9" ht="31.5" hidden="1" x14ac:dyDescent="0.25">
      <c r="A953" s="34" t="s">
        <v>1170</v>
      </c>
      <c r="B953" s="315">
        <v>908</v>
      </c>
      <c r="C953" s="312" t="s">
        <v>249</v>
      </c>
      <c r="D953" s="312" t="s">
        <v>228</v>
      </c>
      <c r="E953" s="319" t="s">
        <v>1171</v>
      </c>
      <c r="F953" s="312"/>
      <c r="G953" s="4">
        <f>G954</f>
        <v>0</v>
      </c>
      <c r="H953" s="4">
        <f>H954</f>
        <v>0</v>
      </c>
      <c r="I953" s="211"/>
    </row>
    <row r="954" spans="1:9" ht="15.75" hidden="1" x14ac:dyDescent="0.25">
      <c r="A954" s="45" t="s">
        <v>544</v>
      </c>
      <c r="B954" s="314">
        <v>908</v>
      </c>
      <c r="C954" s="324" t="s">
        <v>249</v>
      </c>
      <c r="D954" s="324" t="s">
        <v>228</v>
      </c>
      <c r="E954" s="316" t="s">
        <v>1174</v>
      </c>
      <c r="F954" s="324"/>
      <c r="G954" s="321">
        <f>'Пр.4 ведом.20'!G1080</f>
        <v>0</v>
      </c>
      <c r="H954" s="321">
        <f t="shared" si="71"/>
        <v>0</v>
      </c>
      <c r="I954" s="211"/>
    </row>
    <row r="955" spans="1:9" ht="31.5" hidden="1" x14ac:dyDescent="0.25">
      <c r="A955" s="31" t="s">
        <v>146</v>
      </c>
      <c r="B955" s="314">
        <v>908</v>
      </c>
      <c r="C955" s="324" t="s">
        <v>249</v>
      </c>
      <c r="D955" s="324" t="s">
        <v>228</v>
      </c>
      <c r="E955" s="316" t="s">
        <v>1174</v>
      </c>
      <c r="F955" s="324" t="s">
        <v>147</v>
      </c>
      <c r="G955" s="321">
        <f>'Пр.4 ведом.20'!G1081</f>
        <v>0</v>
      </c>
      <c r="H955" s="321">
        <f t="shared" si="71"/>
        <v>0</v>
      </c>
      <c r="I955" s="211"/>
    </row>
    <row r="956" spans="1:9" ht="31.5" hidden="1" x14ac:dyDescent="0.25">
      <c r="A956" s="31" t="s">
        <v>148</v>
      </c>
      <c r="B956" s="314">
        <v>908</v>
      </c>
      <c r="C956" s="324" t="s">
        <v>249</v>
      </c>
      <c r="D956" s="324" t="s">
        <v>228</v>
      </c>
      <c r="E956" s="316" t="s">
        <v>1174</v>
      </c>
      <c r="F956" s="324" t="s">
        <v>149</v>
      </c>
      <c r="G956" s="321">
        <f>'Пр.4 ведом.20'!G1082</f>
        <v>0</v>
      </c>
      <c r="H956" s="321">
        <f t="shared" si="71"/>
        <v>0</v>
      </c>
      <c r="I956" s="211"/>
    </row>
    <row r="957" spans="1:9" ht="31.5" hidden="1" x14ac:dyDescent="0.25">
      <c r="A957" s="225" t="s">
        <v>1172</v>
      </c>
      <c r="B957" s="315">
        <v>908</v>
      </c>
      <c r="C957" s="312" t="s">
        <v>249</v>
      </c>
      <c r="D957" s="312" t="s">
        <v>228</v>
      </c>
      <c r="E957" s="319" t="s">
        <v>1173</v>
      </c>
      <c r="F957" s="312"/>
      <c r="G957" s="317">
        <f>G958</f>
        <v>0</v>
      </c>
      <c r="H957" s="317">
        <f>H958</f>
        <v>0</v>
      </c>
      <c r="I957" s="211"/>
    </row>
    <row r="958" spans="1:9" ht="31.5" hidden="1" x14ac:dyDescent="0.25">
      <c r="A958" s="178" t="s">
        <v>546</v>
      </c>
      <c r="B958" s="314">
        <v>908</v>
      </c>
      <c r="C958" s="324" t="s">
        <v>249</v>
      </c>
      <c r="D958" s="324" t="s">
        <v>228</v>
      </c>
      <c r="E958" s="316" t="s">
        <v>1175</v>
      </c>
      <c r="F958" s="324"/>
      <c r="G958" s="321">
        <f>'Пр.4 ведом.20'!G1084</f>
        <v>0</v>
      </c>
      <c r="H958" s="321">
        <f t="shared" si="71"/>
        <v>0</v>
      </c>
      <c r="I958" s="211"/>
    </row>
    <row r="959" spans="1:9" ht="31.5" hidden="1" x14ac:dyDescent="0.25">
      <c r="A959" s="31" t="s">
        <v>146</v>
      </c>
      <c r="B959" s="314">
        <v>908</v>
      </c>
      <c r="C959" s="324" t="s">
        <v>249</v>
      </c>
      <c r="D959" s="324" t="s">
        <v>228</v>
      </c>
      <c r="E959" s="316" t="s">
        <v>1175</v>
      </c>
      <c r="F959" s="324" t="s">
        <v>147</v>
      </c>
      <c r="G959" s="321">
        <f>'Пр.4 ведом.20'!G1085</f>
        <v>0</v>
      </c>
      <c r="H959" s="321">
        <f t="shared" si="71"/>
        <v>0</v>
      </c>
      <c r="I959" s="211"/>
    </row>
    <row r="960" spans="1:9" ht="31.5" hidden="1" x14ac:dyDescent="0.25">
      <c r="A960" s="31" t="s">
        <v>148</v>
      </c>
      <c r="B960" s="314">
        <v>908</v>
      </c>
      <c r="C960" s="324" t="s">
        <v>249</v>
      </c>
      <c r="D960" s="324" t="s">
        <v>228</v>
      </c>
      <c r="E960" s="316" t="s">
        <v>1175</v>
      </c>
      <c r="F960" s="324" t="s">
        <v>149</v>
      </c>
      <c r="G960" s="321">
        <f>'Пр.4 ведом.20'!G1086</f>
        <v>0</v>
      </c>
      <c r="H960" s="321">
        <f t="shared" si="71"/>
        <v>0</v>
      </c>
      <c r="I960" s="211"/>
    </row>
    <row r="961" spans="1:9" ht="31.5" hidden="1" x14ac:dyDescent="0.25">
      <c r="A961" s="225" t="s">
        <v>1111</v>
      </c>
      <c r="B961" s="315">
        <v>908</v>
      </c>
      <c r="C961" s="312" t="s">
        <v>249</v>
      </c>
      <c r="D961" s="312" t="s">
        <v>228</v>
      </c>
      <c r="E961" s="319" t="s">
        <v>1112</v>
      </c>
      <c r="F961" s="312"/>
      <c r="G961" s="317">
        <f>G962</f>
        <v>0</v>
      </c>
      <c r="H961" s="317">
        <f>H962</f>
        <v>0</v>
      </c>
      <c r="I961" s="211"/>
    </row>
    <row r="962" spans="1:9" ht="15.75" hidden="1" x14ac:dyDescent="0.25">
      <c r="A962" s="178" t="s">
        <v>548</v>
      </c>
      <c r="B962" s="314">
        <v>908</v>
      </c>
      <c r="C962" s="324" t="s">
        <v>249</v>
      </c>
      <c r="D962" s="324" t="s">
        <v>228</v>
      </c>
      <c r="E962" s="316" t="s">
        <v>1110</v>
      </c>
      <c r="F962" s="324"/>
      <c r="G962" s="321">
        <f>'Пр.4 ведом.20'!G1088</f>
        <v>0</v>
      </c>
      <c r="H962" s="321">
        <f t="shared" si="71"/>
        <v>0</v>
      </c>
      <c r="I962" s="211"/>
    </row>
    <row r="963" spans="1:9" ht="31.5" hidden="1" x14ac:dyDescent="0.25">
      <c r="A963" s="320" t="s">
        <v>146</v>
      </c>
      <c r="B963" s="314">
        <v>908</v>
      </c>
      <c r="C963" s="324" t="s">
        <v>249</v>
      </c>
      <c r="D963" s="324" t="s">
        <v>228</v>
      </c>
      <c r="E963" s="316" t="s">
        <v>1110</v>
      </c>
      <c r="F963" s="324" t="s">
        <v>147</v>
      </c>
      <c r="G963" s="321">
        <f>'Пр.4 ведом.20'!G1089</f>
        <v>0</v>
      </c>
      <c r="H963" s="321">
        <f t="shared" si="71"/>
        <v>0</v>
      </c>
      <c r="I963" s="211"/>
    </row>
    <row r="964" spans="1:9" ht="31.5" hidden="1" x14ac:dyDescent="0.25">
      <c r="A964" s="320" t="s">
        <v>148</v>
      </c>
      <c r="B964" s="314">
        <v>908</v>
      </c>
      <c r="C964" s="324" t="s">
        <v>249</v>
      </c>
      <c r="D964" s="324" t="s">
        <v>228</v>
      </c>
      <c r="E964" s="316" t="s">
        <v>1110</v>
      </c>
      <c r="F964" s="324" t="s">
        <v>149</v>
      </c>
      <c r="G964" s="321">
        <f>'Пр.4 ведом.20'!G1090</f>
        <v>0</v>
      </c>
      <c r="H964" s="321">
        <f t="shared" si="71"/>
        <v>0</v>
      </c>
      <c r="I964" s="211"/>
    </row>
    <row r="965" spans="1:9" s="210" customFormat="1" ht="47.25" x14ac:dyDescent="0.25">
      <c r="A965" s="318" t="s">
        <v>1355</v>
      </c>
      <c r="B965" s="315">
        <v>908</v>
      </c>
      <c r="C965" s="312" t="s">
        <v>249</v>
      </c>
      <c r="D965" s="312" t="s">
        <v>228</v>
      </c>
      <c r="E965" s="319" t="s">
        <v>1354</v>
      </c>
      <c r="F965" s="312"/>
      <c r="G965" s="317">
        <f t="shared" ref="G965:H968" si="74">G966</f>
        <v>235</v>
      </c>
      <c r="H965" s="317">
        <f t="shared" si="74"/>
        <v>204</v>
      </c>
      <c r="I965" s="211"/>
    </row>
    <row r="966" spans="1:9" s="210" customFormat="1" ht="31.5" x14ac:dyDescent="0.25">
      <c r="A966" s="318" t="s">
        <v>1356</v>
      </c>
      <c r="B966" s="315">
        <v>908</v>
      </c>
      <c r="C966" s="312" t="s">
        <v>249</v>
      </c>
      <c r="D966" s="312" t="s">
        <v>228</v>
      </c>
      <c r="E966" s="319" t="s">
        <v>1357</v>
      </c>
      <c r="F966" s="312"/>
      <c r="G966" s="317">
        <f t="shared" si="74"/>
        <v>235</v>
      </c>
      <c r="H966" s="317">
        <f t="shared" si="74"/>
        <v>204</v>
      </c>
      <c r="I966" s="211"/>
    </row>
    <row r="967" spans="1:9" s="210" customFormat="1" ht="15.75" x14ac:dyDescent="0.25">
      <c r="A967" s="320" t="s">
        <v>552</v>
      </c>
      <c r="B967" s="314">
        <v>908</v>
      </c>
      <c r="C967" s="324" t="s">
        <v>249</v>
      </c>
      <c r="D967" s="324" t="s">
        <v>228</v>
      </c>
      <c r="E967" s="316" t="s">
        <v>1358</v>
      </c>
      <c r="F967" s="324"/>
      <c r="G967" s="321">
        <f t="shared" si="74"/>
        <v>235</v>
      </c>
      <c r="H967" s="321">
        <f t="shared" si="74"/>
        <v>204</v>
      </c>
      <c r="I967" s="211"/>
    </row>
    <row r="968" spans="1:9" s="210" customFormat="1" ht="31.5" x14ac:dyDescent="0.25">
      <c r="A968" s="320" t="s">
        <v>146</v>
      </c>
      <c r="B968" s="314">
        <v>908</v>
      </c>
      <c r="C968" s="324" t="s">
        <v>249</v>
      </c>
      <c r="D968" s="324" t="s">
        <v>228</v>
      </c>
      <c r="E968" s="316" t="s">
        <v>1358</v>
      </c>
      <c r="F968" s="324" t="s">
        <v>147</v>
      </c>
      <c r="G968" s="321">
        <f t="shared" si="74"/>
        <v>235</v>
      </c>
      <c r="H968" s="321">
        <f t="shared" si="74"/>
        <v>204</v>
      </c>
      <c r="I968" s="211"/>
    </row>
    <row r="969" spans="1:9" s="210" customFormat="1" ht="31.5" x14ac:dyDescent="0.25">
      <c r="A969" s="320" t="s">
        <v>148</v>
      </c>
      <c r="B969" s="314">
        <v>908</v>
      </c>
      <c r="C969" s="324" t="s">
        <v>249</v>
      </c>
      <c r="D969" s="324" t="s">
        <v>228</v>
      </c>
      <c r="E969" s="316" t="s">
        <v>1358</v>
      </c>
      <c r="F969" s="324" t="s">
        <v>149</v>
      </c>
      <c r="G969" s="321">
        <v>235</v>
      </c>
      <c r="H969" s="321">
        <v>204</v>
      </c>
      <c r="I969" s="211"/>
    </row>
    <row r="970" spans="1:9" ht="15.75" x14ac:dyDescent="0.25">
      <c r="A970" s="318" t="s">
        <v>556</v>
      </c>
      <c r="B970" s="315">
        <v>908</v>
      </c>
      <c r="C970" s="319" t="s">
        <v>249</v>
      </c>
      <c r="D970" s="319" t="s">
        <v>230</v>
      </c>
      <c r="E970" s="319"/>
      <c r="F970" s="319"/>
      <c r="G970" s="317">
        <f>G971+G976+G1014</f>
        <v>26443.5</v>
      </c>
      <c r="H970" s="317">
        <f>H971+H976+H1014</f>
        <v>11526.5</v>
      </c>
      <c r="I970" s="211"/>
    </row>
    <row r="971" spans="1:9" ht="15.75" x14ac:dyDescent="0.25">
      <c r="A971" s="318" t="s">
        <v>156</v>
      </c>
      <c r="B971" s="315">
        <v>908</v>
      </c>
      <c r="C971" s="319" t="s">
        <v>249</v>
      </c>
      <c r="D971" s="319" t="s">
        <v>230</v>
      </c>
      <c r="E971" s="319" t="s">
        <v>910</v>
      </c>
      <c r="F971" s="319"/>
      <c r="G971" s="317">
        <f t="shared" ref="G971:H974" si="75">G972</f>
        <v>390</v>
      </c>
      <c r="H971" s="317">
        <f t="shared" si="75"/>
        <v>390</v>
      </c>
      <c r="I971" s="211"/>
    </row>
    <row r="972" spans="1:9" ht="31.5" x14ac:dyDescent="0.25">
      <c r="A972" s="318" t="s">
        <v>914</v>
      </c>
      <c r="B972" s="315">
        <v>908</v>
      </c>
      <c r="C972" s="319" t="s">
        <v>249</v>
      </c>
      <c r="D972" s="319" t="s">
        <v>230</v>
      </c>
      <c r="E972" s="319" t="s">
        <v>909</v>
      </c>
      <c r="F972" s="319"/>
      <c r="G972" s="317">
        <f t="shared" si="75"/>
        <v>390</v>
      </c>
      <c r="H972" s="317">
        <f t="shared" si="75"/>
        <v>390</v>
      </c>
      <c r="I972" s="211"/>
    </row>
    <row r="973" spans="1:9" ht="15.75" x14ac:dyDescent="0.25">
      <c r="A973" s="320" t="s">
        <v>579</v>
      </c>
      <c r="B973" s="314">
        <v>908</v>
      </c>
      <c r="C973" s="316" t="s">
        <v>249</v>
      </c>
      <c r="D973" s="316" t="s">
        <v>230</v>
      </c>
      <c r="E973" s="316" t="s">
        <v>1259</v>
      </c>
      <c r="F973" s="316"/>
      <c r="G973" s="321">
        <f t="shared" si="75"/>
        <v>390</v>
      </c>
      <c r="H973" s="321">
        <f t="shared" si="75"/>
        <v>390</v>
      </c>
      <c r="I973" s="211"/>
    </row>
    <row r="974" spans="1:9" ht="31.5" x14ac:dyDescent="0.25">
      <c r="A974" s="320" t="s">
        <v>146</v>
      </c>
      <c r="B974" s="314">
        <v>908</v>
      </c>
      <c r="C974" s="316" t="s">
        <v>249</v>
      </c>
      <c r="D974" s="316" t="s">
        <v>230</v>
      </c>
      <c r="E974" s="316" t="s">
        <v>1259</v>
      </c>
      <c r="F974" s="316" t="s">
        <v>147</v>
      </c>
      <c r="G974" s="321">
        <f t="shared" si="75"/>
        <v>390</v>
      </c>
      <c r="H974" s="321">
        <f t="shared" si="75"/>
        <v>390</v>
      </c>
      <c r="I974" s="211"/>
    </row>
    <row r="975" spans="1:9" ht="31.5" x14ac:dyDescent="0.25">
      <c r="A975" s="320" t="s">
        <v>148</v>
      </c>
      <c r="B975" s="314">
        <v>908</v>
      </c>
      <c r="C975" s="316" t="s">
        <v>249</v>
      </c>
      <c r="D975" s="316" t="s">
        <v>230</v>
      </c>
      <c r="E975" s="316" t="s">
        <v>1259</v>
      </c>
      <c r="F975" s="316" t="s">
        <v>149</v>
      </c>
      <c r="G975" s="321">
        <f>390</f>
        <v>390</v>
      </c>
      <c r="H975" s="321">
        <f t="shared" si="71"/>
        <v>390</v>
      </c>
      <c r="I975" s="211"/>
    </row>
    <row r="976" spans="1:9" ht="47.25" x14ac:dyDescent="0.25">
      <c r="A976" s="318" t="s">
        <v>1428</v>
      </c>
      <c r="B976" s="315">
        <v>908</v>
      </c>
      <c r="C976" s="319" t="s">
        <v>249</v>
      </c>
      <c r="D976" s="319" t="s">
        <v>230</v>
      </c>
      <c r="E976" s="319" t="s">
        <v>558</v>
      </c>
      <c r="F976" s="319"/>
      <c r="G976" s="317">
        <f>G977+G991</f>
        <v>3244.5</v>
      </c>
      <c r="H976" s="317">
        <f>H977+H991</f>
        <v>10636.5</v>
      </c>
      <c r="I976" s="211"/>
    </row>
    <row r="977" spans="1:9" ht="47.25" x14ac:dyDescent="0.25">
      <c r="A977" s="318" t="s">
        <v>559</v>
      </c>
      <c r="B977" s="315">
        <v>908</v>
      </c>
      <c r="C977" s="319" t="s">
        <v>249</v>
      </c>
      <c r="D977" s="319" t="s">
        <v>230</v>
      </c>
      <c r="E977" s="319" t="s">
        <v>560</v>
      </c>
      <c r="F977" s="319"/>
      <c r="G977" s="317">
        <f>G978</f>
        <v>940</v>
      </c>
      <c r="H977" s="317">
        <f>H978</f>
        <v>940</v>
      </c>
      <c r="I977" s="211"/>
    </row>
    <row r="978" spans="1:9" ht="31.5" x14ac:dyDescent="0.25">
      <c r="A978" s="318" t="s">
        <v>1120</v>
      </c>
      <c r="B978" s="315">
        <v>908</v>
      </c>
      <c r="C978" s="319" t="s">
        <v>249</v>
      </c>
      <c r="D978" s="319" t="s">
        <v>230</v>
      </c>
      <c r="E978" s="319" t="s">
        <v>1118</v>
      </c>
      <c r="F978" s="319"/>
      <c r="G978" s="317">
        <f>G979+G982+G988</f>
        <v>940</v>
      </c>
      <c r="H978" s="317">
        <f>H979+H982+H988</f>
        <v>940</v>
      </c>
      <c r="I978" s="211"/>
    </row>
    <row r="979" spans="1:9" ht="15.75" x14ac:dyDescent="0.25">
      <c r="A979" s="320" t="s">
        <v>561</v>
      </c>
      <c r="B979" s="314">
        <v>908</v>
      </c>
      <c r="C979" s="316" t="s">
        <v>249</v>
      </c>
      <c r="D979" s="316" t="s">
        <v>230</v>
      </c>
      <c r="E979" s="316" t="s">
        <v>1119</v>
      </c>
      <c r="F979" s="316"/>
      <c r="G979" s="321">
        <f>G980</f>
        <v>90</v>
      </c>
      <c r="H979" s="321">
        <f>H980</f>
        <v>90</v>
      </c>
      <c r="I979" s="211"/>
    </row>
    <row r="980" spans="1:9" ht="31.5" x14ac:dyDescent="0.25">
      <c r="A980" s="320" t="s">
        <v>146</v>
      </c>
      <c r="B980" s="314">
        <v>908</v>
      </c>
      <c r="C980" s="316" t="s">
        <v>249</v>
      </c>
      <c r="D980" s="316" t="s">
        <v>230</v>
      </c>
      <c r="E980" s="316" t="s">
        <v>1119</v>
      </c>
      <c r="F980" s="316" t="s">
        <v>147</v>
      </c>
      <c r="G980" s="321">
        <f>G981</f>
        <v>90</v>
      </c>
      <c r="H980" s="321">
        <f>H981</f>
        <v>90</v>
      </c>
      <c r="I980" s="211"/>
    </row>
    <row r="981" spans="1:9" ht="31.5" x14ac:dyDescent="0.25">
      <c r="A981" s="320" t="s">
        <v>148</v>
      </c>
      <c r="B981" s="314">
        <v>908</v>
      </c>
      <c r="C981" s="316" t="s">
        <v>249</v>
      </c>
      <c r="D981" s="316" t="s">
        <v>230</v>
      </c>
      <c r="E981" s="316" t="s">
        <v>1119</v>
      </c>
      <c r="F981" s="316" t="s">
        <v>149</v>
      </c>
      <c r="G981" s="321">
        <f>90</f>
        <v>90</v>
      </c>
      <c r="H981" s="321">
        <f t="shared" si="71"/>
        <v>90</v>
      </c>
      <c r="I981" s="211"/>
    </row>
    <row r="982" spans="1:9" ht="15.75" x14ac:dyDescent="0.25">
      <c r="A982" s="320" t="s">
        <v>1282</v>
      </c>
      <c r="B982" s="314">
        <v>908</v>
      </c>
      <c r="C982" s="316" t="s">
        <v>249</v>
      </c>
      <c r="D982" s="316" t="s">
        <v>230</v>
      </c>
      <c r="E982" s="316" t="s">
        <v>1121</v>
      </c>
      <c r="F982" s="316"/>
      <c r="G982" s="321">
        <f>G983</f>
        <v>650</v>
      </c>
      <c r="H982" s="321">
        <f>H983</f>
        <v>650</v>
      </c>
      <c r="I982" s="211"/>
    </row>
    <row r="983" spans="1:9" ht="31.5" x14ac:dyDescent="0.25">
      <c r="A983" s="320" t="s">
        <v>146</v>
      </c>
      <c r="B983" s="314">
        <v>908</v>
      </c>
      <c r="C983" s="316" t="s">
        <v>249</v>
      </c>
      <c r="D983" s="316" t="s">
        <v>230</v>
      </c>
      <c r="E983" s="316" t="s">
        <v>1121</v>
      </c>
      <c r="F983" s="316" t="s">
        <v>147</v>
      </c>
      <c r="G983" s="321">
        <f>G984</f>
        <v>650</v>
      </c>
      <c r="H983" s="321">
        <f>H984</f>
        <v>650</v>
      </c>
      <c r="I983" s="211"/>
    </row>
    <row r="984" spans="1:9" ht="31.5" x14ac:dyDescent="0.25">
      <c r="A984" s="320" t="s">
        <v>148</v>
      </c>
      <c r="B984" s="314">
        <v>908</v>
      </c>
      <c r="C984" s="316" t="s">
        <v>249</v>
      </c>
      <c r="D984" s="316" t="s">
        <v>230</v>
      </c>
      <c r="E984" s="316" t="s">
        <v>1121</v>
      </c>
      <c r="F984" s="316" t="s">
        <v>149</v>
      </c>
      <c r="G984" s="321">
        <f>650</f>
        <v>650</v>
      </c>
      <c r="H984" s="321">
        <f t="shared" si="71"/>
        <v>650</v>
      </c>
      <c r="I984" s="211"/>
    </row>
    <row r="985" spans="1:9" ht="15.75" hidden="1" x14ac:dyDescent="0.25">
      <c r="A985" s="320" t="s">
        <v>150</v>
      </c>
      <c r="B985" s="314">
        <v>908</v>
      </c>
      <c r="C985" s="316" t="s">
        <v>249</v>
      </c>
      <c r="D985" s="316" t="s">
        <v>230</v>
      </c>
      <c r="E985" s="316" t="s">
        <v>1121</v>
      </c>
      <c r="F985" s="316" t="s">
        <v>160</v>
      </c>
      <c r="G985" s="321">
        <f>'Пр.4 ведом.20'!G1113</f>
        <v>0</v>
      </c>
      <c r="H985" s="321">
        <f t="shared" si="71"/>
        <v>0</v>
      </c>
      <c r="I985" s="211"/>
    </row>
    <row r="986" spans="1:9" ht="47.25" hidden="1" x14ac:dyDescent="0.25">
      <c r="A986" s="320" t="s">
        <v>880</v>
      </c>
      <c r="B986" s="314">
        <v>908</v>
      </c>
      <c r="C986" s="316" t="s">
        <v>249</v>
      </c>
      <c r="D986" s="316" t="s">
        <v>230</v>
      </c>
      <c r="E986" s="316" t="s">
        <v>1121</v>
      </c>
      <c r="F986" s="316" t="s">
        <v>162</v>
      </c>
      <c r="G986" s="321">
        <f>'Пр.4 ведом.20'!G1114</f>
        <v>0</v>
      </c>
      <c r="H986" s="321">
        <f t="shared" si="71"/>
        <v>0</v>
      </c>
      <c r="I986" s="211"/>
    </row>
    <row r="987" spans="1:9" ht="15.75" hidden="1" x14ac:dyDescent="0.25">
      <c r="A987" s="320" t="s">
        <v>725</v>
      </c>
      <c r="B987" s="314">
        <v>908</v>
      </c>
      <c r="C987" s="316" t="s">
        <v>249</v>
      </c>
      <c r="D987" s="316" t="s">
        <v>230</v>
      </c>
      <c r="E987" s="316" t="s">
        <v>1121</v>
      </c>
      <c r="F987" s="316" t="s">
        <v>153</v>
      </c>
      <c r="G987" s="321">
        <f>'Пр.4 ведом.20'!G1115</f>
        <v>0</v>
      </c>
      <c r="H987" s="321">
        <f t="shared" si="71"/>
        <v>0</v>
      </c>
      <c r="I987" s="211"/>
    </row>
    <row r="988" spans="1:9" ht="15.75" x14ac:dyDescent="0.25">
      <c r="A988" s="320" t="s">
        <v>565</v>
      </c>
      <c r="B988" s="314">
        <v>908</v>
      </c>
      <c r="C988" s="316" t="s">
        <v>249</v>
      </c>
      <c r="D988" s="316" t="s">
        <v>230</v>
      </c>
      <c r="E988" s="316" t="s">
        <v>1122</v>
      </c>
      <c r="F988" s="316"/>
      <c r="G988" s="321">
        <f>G989</f>
        <v>200</v>
      </c>
      <c r="H988" s="321">
        <f>H989</f>
        <v>200</v>
      </c>
      <c r="I988" s="211"/>
    </row>
    <row r="989" spans="1:9" ht="31.5" x14ac:dyDescent="0.25">
      <c r="A989" s="320" t="s">
        <v>146</v>
      </c>
      <c r="B989" s="314">
        <v>908</v>
      </c>
      <c r="C989" s="316" t="s">
        <v>249</v>
      </c>
      <c r="D989" s="316" t="s">
        <v>230</v>
      </c>
      <c r="E989" s="316" t="s">
        <v>1122</v>
      </c>
      <c r="F989" s="316" t="s">
        <v>147</v>
      </c>
      <c r="G989" s="321">
        <f>G990</f>
        <v>200</v>
      </c>
      <c r="H989" s="321">
        <f>H990</f>
        <v>200</v>
      </c>
      <c r="I989" s="211"/>
    </row>
    <row r="990" spans="1:9" ht="31.5" x14ac:dyDescent="0.25">
      <c r="A990" s="320" t="s">
        <v>148</v>
      </c>
      <c r="B990" s="314">
        <v>908</v>
      </c>
      <c r="C990" s="316" t="s">
        <v>249</v>
      </c>
      <c r="D990" s="316" t="s">
        <v>230</v>
      </c>
      <c r="E990" s="316" t="s">
        <v>1122</v>
      </c>
      <c r="F990" s="316" t="s">
        <v>149</v>
      </c>
      <c r="G990" s="321">
        <f>200</f>
        <v>200</v>
      </c>
      <c r="H990" s="321">
        <f t="shared" ref="H990:H1048" si="76">G990</f>
        <v>200</v>
      </c>
      <c r="I990" s="211"/>
    </row>
    <row r="991" spans="1:9" ht="47.25" x14ac:dyDescent="0.25">
      <c r="A991" s="318" t="s">
        <v>1429</v>
      </c>
      <c r="B991" s="315">
        <v>908</v>
      </c>
      <c r="C991" s="319" t="s">
        <v>249</v>
      </c>
      <c r="D991" s="319" t="s">
        <v>230</v>
      </c>
      <c r="E991" s="319" t="s">
        <v>568</v>
      </c>
      <c r="F991" s="319"/>
      <c r="G991" s="317">
        <f>G992+G1007</f>
        <v>2304.5</v>
      </c>
      <c r="H991" s="317">
        <f>H992+H1007</f>
        <v>9696.5</v>
      </c>
      <c r="I991" s="211"/>
    </row>
    <row r="992" spans="1:9" ht="31.5" x14ac:dyDescent="0.25">
      <c r="A992" s="318" t="s">
        <v>1138</v>
      </c>
      <c r="B992" s="315">
        <v>908</v>
      </c>
      <c r="C992" s="319" t="s">
        <v>249</v>
      </c>
      <c r="D992" s="319" t="s">
        <v>230</v>
      </c>
      <c r="E992" s="319" t="s">
        <v>1123</v>
      </c>
      <c r="F992" s="319"/>
      <c r="G992" s="317">
        <f>G1004+G993+G996+G1001</f>
        <v>390</v>
      </c>
      <c r="H992" s="317">
        <f>H1004+H993+H996+H1001</f>
        <v>390</v>
      </c>
      <c r="I992" s="211"/>
    </row>
    <row r="993" spans="1:9" ht="15.75" x14ac:dyDescent="0.25">
      <c r="A993" s="320" t="s">
        <v>570</v>
      </c>
      <c r="B993" s="314">
        <v>908</v>
      </c>
      <c r="C993" s="316" t="s">
        <v>249</v>
      </c>
      <c r="D993" s="316" t="s">
        <v>230</v>
      </c>
      <c r="E993" s="316" t="s">
        <v>1125</v>
      </c>
      <c r="F993" s="316"/>
      <c r="G993" s="321">
        <f>G994</f>
        <v>4</v>
      </c>
      <c r="H993" s="321">
        <f>H994</f>
        <v>4</v>
      </c>
      <c r="I993" s="211"/>
    </row>
    <row r="994" spans="1:9" ht="31.5" x14ac:dyDescent="0.25">
      <c r="A994" s="320" t="s">
        <v>146</v>
      </c>
      <c r="B994" s="314">
        <v>908</v>
      </c>
      <c r="C994" s="316" t="s">
        <v>249</v>
      </c>
      <c r="D994" s="316" t="s">
        <v>230</v>
      </c>
      <c r="E994" s="316" t="s">
        <v>1125</v>
      </c>
      <c r="F994" s="316" t="s">
        <v>147</v>
      </c>
      <c r="G994" s="321">
        <f>G995</f>
        <v>4</v>
      </c>
      <c r="H994" s="321">
        <f>H995</f>
        <v>4</v>
      </c>
      <c r="I994" s="211"/>
    </row>
    <row r="995" spans="1:9" ht="31.5" x14ac:dyDescent="0.25">
      <c r="A995" s="320" t="s">
        <v>148</v>
      </c>
      <c r="B995" s="314">
        <v>908</v>
      </c>
      <c r="C995" s="316" t="s">
        <v>249</v>
      </c>
      <c r="D995" s="316" t="s">
        <v>230</v>
      </c>
      <c r="E995" s="316" t="s">
        <v>1125</v>
      </c>
      <c r="F995" s="316" t="s">
        <v>149</v>
      </c>
      <c r="G995" s="321">
        <f>4</f>
        <v>4</v>
      </c>
      <c r="H995" s="321">
        <f t="shared" si="76"/>
        <v>4</v>
      </c>
      <c r="I995" s="211"/>
    </row>
    <row r="996" spans="1:9" ht="47.25" x14ac:dyDescent="0.25">
      <c r="A996" s="45" t="s">
        <v>572</v>
      </c>
      <c r="B996" s="314">
        <v>908</v>
      </c>
      <c r="C996" s="316" t="s">
        <v>249</v>
      </c>
      <c r="D996" s="316" t="s">
        <v>230</v>
      </c>
      <c r="E996" s="316" t="s">
        <v>1126</v>
      </c>
      <c r="F996" s="316"/>
      <c r="G996" s="321">
        <f>G997+G999</f>
        <v>375</v>
      </c>
      <c r="H996" s="321">
        <f>H997+H999</f>
        <v>375</v>
      </c>
      <c r="I996" s="211"/>
    </row>
    <row r="997" spans="1:9" ht="31.5" x14ac:dyDescent="0.25">
      <c r="A997" s="320" t="s">
        <v>146</v>
      </c>
      <c r="B997" s="314">
        <v>908</v>
      </c>
      <c r="C997" s="316" t="s">
        <v>249</v>
      </c>
      <c r="D997" s="316" t="s">
        <v>230</v>
      </c>
      <c r="E997" s="316" t="s">
        <v>1126</v>
      </c>
      <c r="F997" s="316" t="s">
        <v>147</v>
      </c>
      <c r="G997" s="321">
        <f>G998</f>
        <v>300</v>
      </c>
      <c r="H997" s="321">
        <f>H998</f>
        <v>300</v>
      </c>
      <c r="I997" s="211"/>
    </row>
    <row r="998" spans="1:9" ht="31.5" x14ac:dyDescent="0.25">
      <c r="A998" s="320" t="s">
        <v>148</v>
      </c>
      <c r="B998" s="314">
        <v>908</v>
      </c>
      <c r="C998" s="316" t="s">
        <v>249</v>
      </c>
      <c r="D998" s="316" t="s">
        <v>230</v>
      </c>
      <c r="E998" s="316" t="s">
        <v>1126</v>
      </c>
      <c r="F998" s="316" t="s">
        <v>149</v>
      </c>
      <c r="G998" s="321">
        <f>300</f>
        <v>300</v>
      </c>
      <c r="H998" s="321">
        <f t="shared" si="76"/>
        <v>300</v>
      </c>
      <c r="I998" s="211"/>
    </row>
    <row r="999" spans="1:9" ht="15.75" x14ac:dyDescent="0.25">
      <c r="A999" s="320" t="s">
        <v>150</v>
      </c>
      <c r="B999" s="314">
        <v>908</v>
      </c>
      <c r="C999" s="316" t="s">
        <v>249</v>
      </c>
      <c r="D999" s="316" t="s">
        <v>230</v>
      </c>
      <c r="E999" s="316" t="s">
        <v>1126</v>
      </c>
      <c r="F999" s="316" t="s">
        <v>160</v>
      </c>
      <c r="G999" s="321">
        <f>G1000</f>
        <v>75</v>
      </c>
      <c r="H999" s="321">
        <f>H1000</f>
        <v>75</v>
      </c>
      <c r="I999" s="211"/>
    </row>
    <row r="1000" spans="1:9" ht="15.75" x14ac:dyDescent="0.25">
      <c r="A1000" s="320" t="s">
        <v>725</v>
      </c>
      <c r="B1000" s="314">
        <v>908</v>
      </c>
      <c r="C1000" s="316" t="s">
        <v>249</v>
      </c>
      <c r="D1000" s="316" t="s">
        <v>230</v>
      </c>
      <c r="E1000" s="316" t="s">
        <v>1126</v>
      </c>
      <c r="F1000" s="316" t="s">
        <v>153</v>
      </c>
      <c r="G1000" s="321">
        <f>75</f>
        <v>75</v>
      </c>
      <c r="H1000" s="321">
        <f t="shared" si="76"/>
        <v>75</v>
      </c>
      <c r="I1000" s="211"/>
    </row>
    <row r="1001" spans="1:9" ht="25.5" hidden="1" customHeight="1" x14ac:dyDescent="0.25">
      <c r="A1001" s="45" t="s">
        <v>574</v>
      </c>
      <c r="B1001" s="314">
        <v>908</v>
      </c>
      <c r="C1001" s="316" t="s">
        <v>249</v>
      </c>
      <c r="D1001" s="316" t="s">
        <v>230</v>
      </c>
      <c r="E1001" s="316" t="s">
        <v>1127</v>
      </c>
      <c r="F1001" s="316"/>
      <c r="G1001" s="321">
        <f>'Пр.4 ведом.20'!G1129</f>
        <v>0</v>
      </c>
      <c r="H1001" s="321">
        <f t="shared" si="76"/>
        <v>0</v>
      </c>
      <c r="I1001" s="211"/>
    </row>
    <row r="1002" spans="1:9" ht="31.5" hidden="1" x14ac:dyDescent="0.25">
      <c r="A1002" s="320" t="s">
        <v>146</v>
      </c>
      <c r="B1002" s="314">
        <v>908</v>
      </c>
      <c r="C1002" s="316" t="s">
        <v>249</v>
      </c>
      <c r="D1002" s="316" t="s">
        <v>230</v>
      </c>
      <c r="E1002" s="316" t="s">
        <v>1127</v>
      </c>
      <c r="F1002" s="316" t="s">
        <v>147</v>
      </c>
      <c r="G1002" s="321">
        <f>'Пр.4 ведом.20'!G1130</f>
        <v>0</v>
      </c>
      <c r="H1002" s="321">
        <f t="shared" si="76"/>
        <v>0</v>
      </c>
      <c r="I1002" s="211"/>
    </row>
    <row r="1003" spans="1:9" ht="31.5" hidden="1" x14ac:dyDescent="0.25">
      <c r="A1003" s="320" t="s">
        <v>148</v>
      </c>
      <c r="B1003" s="314">
        <v>908</v>
      </c>
      <c r="C1003" s="316" t="s">
        <v>249</v>
      </c>
      <c r="D1003" s="316" t="s">
        <v>230</v>
      </c>
      <c r="E1003" s="316" t="s">
        <v>1127</v>
      </c>
      <c r="F1003" s="316" t="s">
        <v>149</v>
      </c>
      <c r="G1003" s="321">
        <f>0</f>
        <v>0</v>
      </c>
      <c r="H1003" s="321">
        <f t="shared" si="76"/>
        <v>0</v>
      </c>
      <c r="I1003" s="211"/>
    </row>
    <row r="1004" spans="1:9" s="210" customFormat="1" ht="31.5" x14ac:dyDescent="0.25">
      <c r="A1004" s="237" t="s">
        <v>1284</v>
      </c>
      <c r="B1004" s="314">
        <v>908</v>
      </c>
      <c r="C1004" s="316" t="s">
        <v>249</v>
      </c>
      <c r="D1004" s="316" t="s">
        <v>230</v>
      </c>
      <c r="E1004" s="316" t="s">
        <v>1285</v>
      </c>
      <c r="F1004" s="316"/>
      <c r="G1004" s="321">
        <f>G1005</f>
        <v>11</v>
      </c>
      <c r="H1004" s="321">
        <f>H1005</f>
        <v>11</v>
      </c>
      <c r="I1004" s="211"/>
    </row>
    <row r="1005" spans="1:9" s="210" customFormat="1" ht="31.5" x14ac:dyDescent="0.25">
      <c r="A1005" s="320" t="s">
        <v>146</v>
      </c>
      <c r="B1005" s="314">
        <v>908</v>
      </c>
      <c r="C1005" s="316" t="s">
        <v>249</v>
      </c>
      <c r="D1005" s="316" t="s">
        <v>230</v>
      </c>
      <c r="E1005" s="316" t="s">
        <v>1285</v>
      </c>
      <c r="F1005" s="316" t="s">
        <v>147</v>
      </c>
      <c r="G1005" s="321">
        <f>G1006</f>
        <v>11</v>
      </c>
      <c r="H1005" s="321">
        <f>H1006</f>
        <v>11</v>
      </c>
      <c r="I1005" s="211"/>
    </row>
    <row r="1006" spans="1:9" s="210" customFormat="1" ht="31.5" x14ac:dyDescent="0.25">
      <c r="A1006" s="320" t="s">
        <v>148</v>
      </c>
      <c r="B1006" s="314">
        <v>908</v>
      </c>
      <c r="C1006" s="316" t="s">
        <v>249</v>
      </c>
      <c r="D1006" s="316" t="s">
        <v>230</v>
      </c>
      <c r="E1006" s="316" t="s">
        <v>1285</v>
      </c>
      <c r="F1006" s="316" t="s">
        <v>149</v>
      </c>
      <c r="G1006" s="321">
        <f>11</f>
        <v>11</v>
      </c>
      <c r="H1006" s="321">
        <f>G1006</f>
        <v>11</v>
      </c>
      <c r="I1006" s="211"/>
    </row>
    <row r="1007" spans="1:9" ht="31.5" x14ac:dyDescent="0.25">
      <c r="A1007" s="318" t="s">
        <v>948</v>
      </c>
      <c r="B1007" s="315">
        <v>908</v>
      </c>
      <c r="C1007" s="319" t="s">
        <v>249</v>
      </c>
      <c r="D1007" s="319" t="s">
        <v>230</v>
      </c>
      <c r="E1007" s="319" t="s">
        <v>1128</v>
      </c>
      <c r="F1007" s="319"/>
      <c r="G1007" s="317">
        <f>G1008+G1011</f>
        <v>1914.5</v>
      </c>
      <c r="H1007" s="317">
        <f>H1008+H1011</f>
        <v>9306.5</v>
      </c>
      <c r="I1007" s="211"/>
    </row>
    <row r="1008" spans="1:9" ht="31.5" hidden="1" x14ac:dyDescent="0.25">
      <c r="A1008" s="320" t="s">
        <v>705</v>
      </c>
      <c r="B1008" s="314">
        <v>908</v>
      </c>
      <c r="C1008" s="316" t="s">
        <v>249</v>
      </c>
      <c r="D1008" s="316" t="s">
        <v>230</v>
      </c>
      <c r="E1008" s="316" t="s">
        <v>1129</v>
      </c>
      <c r="F1008" s="316"/>
      <c r="G1008" s="321">
        <f>'Пр.4 ведом.20'!G1136</f>
        <v>0</v>
      </c>
      <c r="H1008" s="321">
        <f t="shared" si="76"/>
        <v>0</v>
      </c>
      <c r="I1008" s="211"/>
    </row>
    <row r="1009" spans="1:12" ht="31.5" hidden="1" x14ac:dyDescent="0.25">
      <c r="A1009" s="320" t="s">
        <v>146</v>
      </c>
      <c r="B1009" s="314">
        <v>908</v>
      </c>
      <c r="C1009" s="316" t="s">
        <v>249</v>
      </c>
      <c r="D1009" s="316" t="s">
        <v>230</v>
      </c>
      <c r="E1009" s="316" t="s">
        <v>1129</v>
      </c>
      <c r="F1009" s="316" t="s">
        <v>147</v>
      </c>
      <c r="G1009" s="321">
        <f>'Пр.4 ведом.20'!G1137</f>
        <v>0</v>
      </c>
      <c r="H1009" s="321">
        <f t="shared" si="76"/>
        <v>0</v>
      </c>
      <c r="I1009" s="211"/>
    </row>
    <row r="1010" spans="1:12" ht="31.5" hidden="1" x14ac:dyDescent="0.25">
      <c r="A1010" s="320" t="s">
        <v>148</v>
      </c>
      <c r="B1010" s="314">
        <v>908</v>
      </c>
      <c r="C1010" s="316" t="s">
        <v>249</v>
      </c>
      <c r="D1010" s="316" t="s">
        <v>230</v>
      </c>
      <c r="E1010" s="316" t="s">
        <v>1129</v>
      </c>
      <c r="F1010" s="316" t="s">
        <v>149</v>
      </c>
      <c r="G1010" s="321">
        <f>'Пр.4 ведом.20'!G1138</f>
        <v>0</v>
      </c>
      <c r="H1010" s="321">
        <f t="shared" si="76"/>
        <v>0</v>
      </c>
      <c r="I1010" s="211"/>
    </row>
    <row r="1011" spans="1:12" ht="63" x14ac:dyDescent="0.25">
      <c r="A1011" s="320" t="s">
        <v>1247</v>
      </c>
      <c r="B1011" s="314">
        <v>908</v>
      </c>
      <c r="C1011" s="316" t="s">
        <v>249</v>
      </c>
      <c r="D1011" s="316" t="s">
        <v>230</v>
      </c>
      <c r="E1011" s="316" t="s">
        <v>1248</v>
      </c>
      <c r="F1011" s="316"/>
      <c r="G1011" s="321">
        <f>G1012</f>
        <v>1914.5</v>
      </c>
      <c r="H1011" s="321">
        <f>H1012</f>
        <v>9306.5</v>
      </c>
      <c r="I1011" s="211"/>
    </row>
    <row r="1012" spans="1:12" ht="31.5" x14ac:dyDescent="0.25">
      <c r="A1012" s="320" t="s">
        <v>146</v>
      </c>
      <c r="B1012" s="314">
        <v>908</v>
      </c>
      <c r="C1012" s="316" t="s">
        <v>249</v>
      </c>
      <c r="D1012" s="316" t="s">
        <v>230</v>
      </c>
      <c r="E1012" s="316" t="s">
        <v>1248</v>
      </c>
      <c r="F1012" s="316" t="s">
        <v>147</v>
      </c>
      <c r="G1012" s="321">
        <f>G1013</f>
        <v>1914.5</v>
      </c>
      <c r="H1012" s="321">
        <f>H1013</f>
        <v>9306.5</v>
      </c>
      <c r="I1012" s="211"/>
    </row>
    <row r="1013" spans="1:12" ht="31.5" x14ac:dyDescent="0.25">
      <c r="A1013" s="320" t="s">
        <v>148</v>
      </c>
      <c r="B1013" s="314">
        <v>908</v>
      </c>
      <c r="C1013" s="316" t="s">
        <v>249</v>
      </c>
      <c r="D1013" s="316" t="s">
        <v>230</v>
      </c>
      <c r="E1013" s="316" t="s">
        <v>1248</v>
      </c>
      <c r="F1013" s="316" t="s">
        <v>149</v>
      </c>
      <c r="G1013" s="321">
        <f>1914.5</f>
        <v>1914.5</v>
      </c>
      <c r="H1013" s="321">
        <f>1914.5+7392</f>
        <v>9306.5</v>
      </c>
      <c r="I1013" s="211"/>
    </row>
    <row r="1014" spans="1:12" ht="63" x14ac:dyDescent="0.25">
      <c r="A1014" s="318" t="s">
        <v>821</v>
      </c>
      <c r="B1014" s="315">
        <v>908</v>
      </c>
      <c r="C1014" s="319" t="s">
        <v>249</v>
      </c>
      <c r="D1014" s="319" t="s">
        <v>230</v>
      </c>
      <c r="E1014" s="319" t="s">
        <v>732</v>
      </c>
      <c r="F1014" s="319"/>
      <c r="G1014" s="317">
        <f t="shared" ref="G1014:H1017" si="77">G1015</f>
        <v>22809</v>
      </c>
      <c r="H1014" s="317">
        <f t="shared" si="77"/>
        <v>500</v>
      </c>
      <c r="I1014" s="211"/>
    </row>
    <row r="1015" spans="1:12" ht="31.5" x14ac:dyDescent="0.25">
      <c r="A1015" s="318" t="s">
        <v>1243</v>
      </c>
      <c r="B1015" s="315">
        <v>908</v>
      </c>
      <c r="C1015" s="319" t="s">
        <v>249</v>
      </c>
      <c r="D1015" s="319" t="s">
        <v>230</v>
      </c>
      <c r="E1015" s="319" t="s">
        <v>1283</v>
      </c>
      <c r="F1015" s="319"/>
      <c r="G1015" s="317">
        <f t="shared" si="77"/>
        <v>22809</v>
      </c>
      <c r="H1015" s="317">
        <f t="shared" si="77"/>
        <v>500</v>
      </c>
      <c r="I1015" s="211"/>
    </row>
    <row r="1016" spans="1:12" ht="47.25" x14ac:dyDescent="0.25">
      <c r="A1016" s="80" t="s">
        <v>708</v>
      </c>
      <c r="B1016" s="314">
        <v>908</v>
      </c>
      <c r="C1016" s="316" t="s">
        <v>249</v>
      </c>
      <c r="D1016" s="316" t="s">
        <v>230</v>
      </c>
      <c r="E1016" s="316" t="s">
        <v>879</v>
      </c>
      <c r="F1016" s="316"/>
      <c r="G1016" s="321">
        <f t="shared" si="77"/>
        <v>22809</v>
      </c>
      <c r="H1016" s="321">
        <f t="shared" si="77"/>
        <v>500</v>
      </c>
      <c r="I1016" s="211"/>
    </row>
    <row r="1017" spans="1:12" ht="31.5" x14ac:dyDescent="0.25">
      <c r="A1017" s="320" t="s">
        <v>146</v>
      </c>
      <c r="B1017" s="314">
        <v>908</v>
      </c>
      <c r="C1017" s="316" t="s">
        <v>249</v>
      </c>
      <c r="D1017" s="316" t="s">
        <v>230</v>
      </c>
      <c r="E1017" s="316" t="s">
        <v>879</v>
      </c>
      <c r="F1017" s="316" t="s">
        <v>147</v>
      </c>
      <c r="G1017" s="321">
        <f t="shared" si="77"/>
        <v>22809</v>
      </c>
      <c r="H1017" s="321">
        <f t="shared" si="77"/>
        <v>500</v>
      </c>
      <c r="I1017" s="211"/>
    </row>
    <row r="1018" spans="1:12" ht="31.5" x14ac:dyDescent="0.25">
      <c r="A1018" s="320" t="s">
        <v>148</v>
      </c>
      <c r="B1018" s="314">
        <v>908</v>
      </c>
      <c r="C1018" s="316" t="s">
        <v>249</v>
      </c>
      <c r="D1018" s="316" t="s">
        <v>230</v>
      </c>
      <c r="E1018" s="316" t="s">
        <v>879</v>
      </c>
      <c r="F1018" s="316" t="s">
        <v>149</v>
      </c>
      <c r="G1018" s="350">
        <f>500+874+21435</f>
        <v>22809</v>
      </c>
      <c r="H1018" s="321">
        <v>500</v>
      </c>
      <c r="I1018" s="211"/>
      <c r="L1018" t="s">
        <v>1569</v>
      </c>
    </row>
    <row r="1019" spans="1:12" ht="31.5" x14ac:dyDescent="0.25">
      <c r="A1019" s="318" t="s">
        <v>584</v>
      </c>
      <c r="B1019" s="315">
        <v>908</v>
      </c>
      <c r="C1019" s="319" t="s">
        <v>249</v>
      </c>
      <c r="D1019" s="319" t="s">
        <v>249</v>
      </c>
      <c r="E1019" s="319"/>
      <c r="F1019" s="319"/>
      <c r="G1019" s="317">
        <f>G1020+G1032+G1049</f>
        <v>22307</v>
      </c>
      <c r="H1019" s="317">
        <f>H1020+H1032+H1049</f>
        <v>22307</v>
      </c>
      <c r="I1019" s="211"/>
    </row>
    <row r="1020" spans="1:12" ht="31.5" x14ac:dyDescent="0.25">
      <c r="A1020" s="318" t="s">
        <v>988</v>
      </c>
      <c r="B1020" s="315">
        <v>908</v>
      </c>
      <c r="C1020" s="319" t="s">
        <v>249</v>
      </c>
      <c r="D1020" s="319" t="s">
        <v>249</v>
      </c>
      <c r="E1020" s="319" t="s">
        <v>902</v>
      </c>
      <c r="F1020" s="319"/>
      <c r="G1020" s="317">
        <f>G1021</f>
        <v>11546</v>
      </c>
      <c r="H1020" s="317">
        <f>H1021</f>
        <v>11546</v>
      </c>
      <c r="I1020" s="211"/>
    </row>
    <row r="1021" spans="1:12" ht="15.75" x14ac:dyDescent="0.25">
      <c r="A1021" s="318" t="s">
        <v>989</v>
      </c>
      <c r="B1021" s="315">
        <v>908</v>
      </c>
      <c r="C1021" s="319" t="s">
        <v>249</v>
      </c>
      <c r="D1021" s="319" t="s">
        <v>249</v>
      </c>
      <c r="E1021" s="319" t="s">
        <v>903</v>
      </c>
      <c r="F1021" s="319"/>
      <c r="G1021" s="317">
        <f>G1022+G1029</f>
        <v>11546</v>
      </c>
      <c r="H1021" s="317">
        <f>H1022+H1029</f>
        <v>11546</v>
      </c>
      <c r="I1021" s="211"/>
    </row>
    <row r="1022" spans="1:12" ht="31.5" x14ac:dyDescent="0.25">
      <c r="A1022" s="320" t="s">
        <v>965</v>
      </c>
      <c r="B1022" s="314">
        <v>908</v>
      </c>
      <c r="C1022" s="316" t="s">
        <v>249</v>
      </c>
      <c r="D1022" s="316" t="s">
        <v>249</v>
      </c>
      <c r="E1022" s="316" t="s">
        <v>904</v>
      </c>
      <c r="F1022" s="316"/>
      <c r="G1022" s="321">
        <f>G1023+G1025+G1027</f>
        <v>11210</v>
      </c>
      <c r="H1022" s="321">
        <f>H1023+H1025+H1027</f>
        <v>11210</v>
      </c>
      <c r="I1022" s="211"/>
    </row>
    <row r="1023" spans="1:12" ht="78.75" x14ac:dyDescent="0.25">
      <c r="A1023" s="320" t="s">
        <v>142</v>
      </c>
      <c r="B1023" s="314">
        <v>908</v>
      </c>
      <c r="C1023" s="316" t="s">
        <v>249</v>
      </c>
      <c r="D1023" s="316" t="s">
        <v>249</v>
      </c>
      <c r="E1023" s="316" t="s">
        <v>904</v>
      </c>
      <c r="F1023" s="316" t="s">
        <v>143</v>
      </c>
      <c r="G1023" s="321">
        <f>G1024</f>
        <v>11138</v>
      </c>
      <c r="H1023" s="321">
        <f>H1024</f>
        <v>11138</v>
      </c>
      <c r="I1023" s="211"/>
    </row>
    <row r="1024" spans="1:12" ht="31.5" x14ac:dyDescent="0.25">
      <c r="A1024" s="320" t="s">
        <v>144</v>
      </c>
      <c r="B1024" s="314">
        <v>908</v>
      </c>
      <c r="C1024" s="316" t="s">
        <v>249</v>
      </c>
      <c r="D1024" s="316" t="s">
        <v>249</v>
      </c>
      <c r="E1024" s="316" t="s">
        <v>904</v>
      </c>
      <c r="F1024" s="316" t="s">
        <v>145</v>
      </c>
      <c r="G1024" s="321">
        <f>11138</f>
        <v>11138</v>
      </c>
      <c r="H1024" s="321">
        <f t="shared" si="76"/>
        <v>11138</v>
      </c>
      <c r="I1024" s="211"/>
    </row>
    <row r="1025" spans="1:9" ht="31.5" x14ac:dyDescent="0.25">
      <c r="A1025" s="320" t="s">
        <v>146</v>
      </c>
      <c r="B1025" s="314">
        <v>908</v>
      </c>
      <c r="C1025" s="316" t="s">
        <v>249</v>
      </c>
      <c r="D1025" s="316" t="s">
        <v>249</v>
      </c>
      <c r="E1025" s="316" t="s">
        <v>904</v>
      </c>
      <c r="F1025" s="316" t="s">
        <v>147</v>
      </c>
      <c r="G1025" s="321">
        <f>G1026</f>
        <v>25</v>
      </c>
      <c r="H1025" s="321">
        <f>H1026</f>
        <v>25</v>
      </c>
      <c r="I1025" s="211"/>
    </row>
    <row r="1026" spans="1:9" ht="31.5" x14ac:dyDescent="0.25">
      <c r="A1026" s="320" t="s">
        <v>148</v>
      </c>
      <c r="B1026" s="314">
        <v>908</v>
      </c>
      <c r="C1026" s="316" t="s">
        <v>249</v>
      </c>
      <c r="D1026" s="316" t="s">
        <v>249</v>
      </c>
      <c r="E1026" s="316" t="s">
        <v>904</v>
      </c>
      <c r="F1026" s="316" t="s">
        <v>149</v>
      </c>
      <c r="G1026" s="321">
        <f>25</f>
        <v>25</v>
      </c>
      <c r="H1026" s="321">
        <f t="shared" si="76"/>
        <v>25</v>
      </c>
      <c r="I1026" s="211"/>
    </row>
    <row r="1027" spans="1:9" ht="15.75" x14ac:dyDescent="0.25">
      <c r="A1027" s="320" t="s">
        <v>150</v>
      </c>
      <c r="B1027" s="314">
        <v>908</v>
      </c>
      <c r="C1027" s="316" t="s">
        <v>249</v>
      </c>
      <c r="D1027" s="316" t="s">
        <v>249</v>
      </c>
      <c r="E1027" s="316" t="s">
        <v>904</v>
      </c>
      <c r="F1027" s="316" t="s">
        <v>160</v>
      </c>
      <c r="G1027" s="321">
        <f>G1028</f>
        <v>47</v>
      </c>
      <c r="H1027" s="321">
        <f>H1028</f>
        <v>47</v>
      </c>
      <c r="I1027" s="211"/>
    </row>
    <row r="1028" spans="1:9" ht="15.75" x14ac:dyDescent="0.25">
      <c r="A1028" s="320" t="s">
        <v>583</v>
      </c>
      <c r="B1028" s="314">
        <v>908</v>
      </c>
      <c r="C1028" s="316" t="s">
        <v>249</v>
      </c>
      <c r="D1028" s="316" t="s">
        <v>249</v>
      </c>
      <c r="E1028" s="316" t="s">
        <v>904</v>
      </c>
      <c r="F1028" s="316" t="s">
        <v>153</v>
      </c>
      <c r="G1028" s="321">
        <f>47</f>
        <v>47</v>
      </c>
      <c r="H1028" s="321">
        <f t="shared" si="76"/>
        <v>47</v>
      </c>
      <c r="I1028" s="211"/>
    </row>
    <row r="1029" spans="1:9" ht="47.25" x14ac:dyDescent="0.25">
      <c r="A1029" s="320" t="s">
        <v>883</v>
      </c>
      <c r="B1029" s="314">
        <v>908</v>
      </c>
      <c r="C1029" s="316" t="s">
        <v>249</v>
      </c>
      <c r="D1029" s="316" t="s">
        <v>249</v>
      </c>
      <c r="E1029" s="316" t="s">
        <v>906</v>
      </c>
      <c r="F1029" s="316"/>
      <c r="G1029" s="321">
        <f>G1030</f>
        <v>336</v>
      </c>
      <c r="H1029" s="321">
        <f>H1030</f>
        <v>336</v>
      </c>
      <c r="I1029" s="211"/>
    </row>
    <row r="1030" spans="1:9" ht="78.75" x14ac:dyDescent="0.25">
      <c r="A1030" s="320" t="s">
        <v>142</v>
      </c>
      <c r="B1030" s="314">
        <v>908</v>
      </c>
      <c r="C1030" s="316" t="s">
        <v>249</v>
      </c>
      <c r="D1030" s="316" t="s">
        <v>249</v>
      </c>
      <c r="E1030" s="316" t="s">
        <v>906</v>
      </c>
      <c r="F1030" s="316" t="s">
        <v>143</v>
      </c>
      <c r="G1030" s="321">
        <f>G1031</f>
        <v>336</v>
      </c>
      <c r="H1030" s="321">
        <f>H1031</f>
        <v>336</v>
      </c>
      <c r="I1030" s="211"/>
    </row>
    <row r="1031" spans="1:9" ht="31.5" x14ac:dyDescent="0.25">
      <c r="A1031" s="320" t="s">
        <v>144</v>
      </c>
      <c r="B1031" s="314">
        <v>908</v>
      </c>
      <c r="C1031" s="316" t="s">
        <v>249</v>
      </c>
      <c r="D1031" s="316" t="s">
        <v>249</v>
      </c>
      <c r="E1031" s="316" t="s">
        <v>906</v>
      </c>
      <c r="F1031" s="316" t="s">
        <v>145</v>
      </c>
      <c r="G1031" s="321">
        <f>336</f>
        <v>336</v>
      </c>
      <c r="H1031" s="321">
        <f t="shared" si="76"/>
        <v>336</v>
      </c>
      <c r="I1031" s="211"/>
    </row>
    <row r="1032" spans="1:9" ht="15.75" x14ac:dyDescent="0.25">
      <c r="A1032" s="318" t="s">
        <v>156</v>
      </c>
      <c r="B1032" s="315">
        <v>908</v>
      </c>
      <c r="C1032" s="319" t="s">
        <v>249</v>
      </c>
      <c r="D1032" s="319" t="s">
        <v>249</v>
      </c>
      <c r="E1032" s="319" t="s">
        <v>910</v>
      </c>
      <c r="F1032" s="319"/>
      <c r="G1032" s="317">
        <f>G1033+G1040</f>
        <v>10761</v>
      </c>
      <c r="H1032" s="317">
        <f>H1033+H1040</f>
        <v>10761</v>
      </c>
      <c r="I1032" s="211"/>
    </row>
    <row r="1033" spans="1:9" ht="31.5" x14ac:dyDescent="0.25">
      <c r="A1033" s="318" t="s">
        <v>914</v>
      </c>
      <c r="B1033" s="315">
        <v>908</v>
      </c>
      <c r="C1033" s="319" t="s">
        <v>249</v>
      </c>
      <c r="D1033" s="319" t="s">
        <v>249</v>
      </c>
      <c r="E1033" s="319" t="s">
        <v>909</v>
      </c>
      <c r="F1033" s="319"/>
      <c r="G1033" s="317">
        <f>G1034+G1037</f>
        <v>982</v>
      </c>
      <c r="H1033" s="317">
        <f>H1034+H1037</f>
        <v>982</v>
      </c>
      <c r="I1033" s="211"/>
    </row>
    <row r="1034" spans="1:9" ht="31.5" x14ac:dyDescent="0.25">
      <c r="A1034" s="320" t="s">
        <v>585</v>
      </c>
      <c r="B1034" s="314">
        <v>908</v>
      </c>
      <c r="C1034" s="316" t="s">
        <v>249</v>
      </c>
      <c r="D1034" s="316" t="s">
        <v>249</v>
      </c>
      <c r="E1034" s="316" t="s">
        <v>1130</v>
      </c>
      <c r="F1034" s="316"/>
      <c r="G1034" s="321">
        <f>G1035</f>
        <v>982</v>
      </c>
      <c r="H1034" s="321">
        <f>H1035</f>
        <v>982</v>
      </c>
      <c r="I1034" s="211"/>
    </row>
    <row r="1035" spans="1:9" ht="15.75" x14ac:dyDescent="0.25">
      <c r="A1035" s="320" t="s">
        <v>150</v>
      </c>
      <c r="B1035" s="314">
        <v>908</v>
      </c>
      <c r="C1035" s="316" t="s">
        <v>249</v>
      </c>
      <c r="D1035" s="316" t="s">
        <v>249</v>
      </c>
      <c r="E1035" s="316" t="s">
        <v>1130</v>
      </c>
      <c r="F1035" s="316" t="s">
        <v>160</v>
      </c>
      <c r="G1035" s="321">
        <f>G1036</f>
        <v>982</v>
      </c>
      <c r="H1035" s="321">
        <f>H1036</f>
        <v>982</v>
      </c>
      <c r="I1035" s="211"/>
    </row>
    <row r="1036" spans="1:9" ht="47.25" x14ac:dyDescent="0.25">
      <c r="A1036" s="320" t="s">
        <v>199</v>
      </c>
      <c r="B1036" s="314">
        <v>908</v>
      </c>
      <c r="C1036" s="316" t="s">
        <v>249</v>
      </c>
      <c r="D1036" s="316" t="s">
        <v>249</v>
      </c>
      <c r="E1036" s="316" t="s">
        <v>1130</v>
      </c>
      <c r="F1036" s="316" t="s">
        <v>175</v>
      </c>
      <c r="G1036" s="321">
        <f>982</f>
        <v>982</v>
      </c>
      <c r="H1036" s="321">
        <f t="shared" si="76"/>
        <v>982</v>
      </c>
      <c r="I1036" s="211"/>
    </row>
    <row r="1037" spans="1:9" ht="31.5" hidden="1" x14ac:dyDescent="0.25">
      <c r="A1037" s="320" t="s">
        <v>866</v>
      </c>
      <c r="B1037" s="314">
        <v>908</v>
      </c>
      <c r="C1037" s="316" t="s">
        <v>249</v>
      </c>
      <c r="D1037" s="316" t="s">
        <v>249</v>
      </c>
      <c r="E1037" s="316" t="s">
        <v>1249</v>
      </c>
      <c r="F1037" s="316"/>
      <c r="G1037" s="321">
        <f>'Пр.4 ведом.20'!G1170</f>
        <v>0</v>
      </c>
      <c r="H1037" s="321">
        <f t="shared" si="76"/>
        <v>0</v>
      </c>
      <c r="I1037" s="211"/>
    </row>
    <row r="1038" spans="1:9" ht="15.75" hidden="1" x14ac:dyDescent="0.25">
      <c r="A1038" s="320" t="s">
        <v>150</v>
      </c>
      <c r="B1038" s="314">
        <v>908</v>
      </c>
      <c r="C1038" s="316" t="s">
        <v>249</v>
      </c>
      <c r="D1038" s="316" t="s">
        <v>249</v>
      </c>
      <c r="E1038" s="316" t="s">
        <v>1249</v>
      </c>
      <c r="F1038" s="316" t="s">
        <v>160</v>
      </c>
      <c r="G1038" s="321">
        <f>'Пр.4 ведом.20'!G1171</f>
        <v>0</v>
      </c>
      <c r="H1038" s="321">
        <f t="shared" si="76"/>
        <v>0</v>
      </c>
      <c r="I1038" s="211"/>
    </row>
    <row r="1039" spans="1:9" ht="47.25" hidden="1" x14ac:dyDescent="0.25">
      <c r="A1039" s="320" t="s">
        <v>199</v>
      </c>
      <c r="B1039" s="314">
        <v>908</v>
      </c>
      <c r="C1039" s="316" t="s">
        <v>249</v>
      </c>
      <c r="D1039" s="316" t="s">
        <v>249</v>
      </c>
      <c r="E1039" s="316" t="s">
        <v>1249</v>
      </c>
      <c r="F1039" s="316" t="s">
        <v>175</v>
      </c>
      <c r="G1039" s="321">
        <f>'Пр.4 ведом.20'!G1172</f>
        <v>0</v>
      </c>
      <c r="H1039" s="321">
        <f t="shared" si="76"/>
        <v>0</v>
      </c>
      <c r="I1039" s="211"/>
    </row>
    <row r="1040" spans="1:9" ht="31.5" x14ac:dyDescent="0.25">
      <c r="A1040" s="318" t="s">
        <v>1000</v>
      </c>
      <c r="B1040" s="315">
        <v>908</v>
      </c>
      <c r="C1040" s="319" t="s">
        <v>249</v>
      </c>
      <c r="D1040" s="319" t="s">
        <v>249</v>
      </c>
      <c r="E1040" s="319" t="s">
        <v>985</v>
      </c>
      <c r="F1040" s="319"/>
      <c r="G1040" s="44">
        <f>G1041+G1046</f>
        <v>9779</v>
      </c>
      <c r="H1040" s="44">
        <f>H1041+H1046</f>
        <v>9779</v>
      </c>
      <c r="I1040" s="211"/>
    </row>
    <row r="1041" spans="1:9" ht="31.5" x14ac:dyDescent="0.25">
      <c r="A1041" s="320" t="s">
        <v>972</v>
      </c>
      <c r="B1041" s="314">
        <v>908</v>
      </c>
      <c r="C1041" s="316" t="s">
        <v>249</v>
      </c>
      <c r="D1041" s="316" t="s">
        <v>249</v>
      </c>
      <c r="E1041" s="316" t="s">
        <v>986</v>
      </c>
      <c r="F1041" s="316"/>
      <c r="G1041" s="321">
        <f>G1042+G1044</f>
        <v>9359</v>
      </c>
      <c r="H1041" s="321">
        <f>H1042+H1044</f>
        <v>9359</v>
      </c>
      <c r="I1041" s="211"/>
    </row>
    <row r="1042" spans="1:9" ht="78.75" x14ac:dyDescent="0.25">
      <c r="A1042" s="320" t="s">
        <v>142</v>
      </c>
      <c r="B1042" s="314">
        <v>908</v>
      </c>
      <c r="C1042" s="316" t="s">
        <v>249</v>
      </c>
      <c r="D1042" s="316" t="s">
        <v>249</v>
      </c>
      <c r="E1042" s="316" t="s">
        <v>986</v>
      </c>
      <c r="F1042" s="316" t="s">
        <v>143</v>
      </c>
      <c r="G1042" s="321">
        <f>G1043</f>
        <v>8047</v>
      </c>
      <c r="H1042" s="321">
        <f>H1043</f>
        <v>8047</v>
      </c>
      <c r="I1042" s="211"/>
    </row>
    <row r="1043" spans="1:9" ht="31.5" x14ac:dyDescent="0.25">
      <c r="A1043" s="320" t="s">
        <v>357</v>
      </c>
      <c r="B1043" s="314">
        <v>908</v>
      </c>
      <c r="C1043" s="316" t="s">
        <v>249</v>
      </c>
      <c r="D1043" s="316" t="s">
        <v>249</v>
      </c>
      <c r="E1043" s="316" t="s">
        <v>986</v>
      </c>
      <c r="F1043" s="316" t="s">
        <v>224</v>
      </c>
      <c r="G1043" s="321">
        <f>8047</f>
        <v>8047</v>
      </c>
      <c r="H1043" s="321">
        <f t="shared" si="76"/>
        <v>8047</v>
      </c>
      <c r="I1043" s="211"/>
    </row>
    <row r="1044" spans="1:9" ht="31.5" x14ac:dyDescent="0.25">
      <c r="A1044" s="320" t="s">
        <v>146</v>
      </c>
      <c r="B1044" s="314">
        <v>908</v>
      </c>
      <c r="C1044" s="316" t="s">
        <v>249</v>
      </c>
      <c r="D1044" s="316" t="s">
        <v>249</v>
      </c>
      <c r="E1044" s="316" t="s">
        <v>986</v>
      </c>
      <c r="F1044" s="316" t="s">
        <v>147</v>
      </c>
      <c r="G1044" s="321">
        <f>G1045</f>
        <v>1312</v>
      </c>
      <c r="H1044" s="321">
        <f>H1045</f>
        <v>1312</v>
      </c>
      <c r="I1044" s="211"/>
    </row>
    <row r="1045" spans="1:9" ht="31.5" x14ac:dyDescent="0.25">
      <c r="A1045" s="320" t="s">
        <v>148</v>
      </c>
      <c r="B1045" s="314">
        <v>908</v>
      </c>
      <c r="C1045" s="316" t="s">
        <v>249</v>
      </c>
      <c r="D1045" s="316" t="s">
        <v>249</v>
      </c>
      <c r="E1045" s="316" t="s">
        <v>986</v>
      </c>
      <c r="F1045" s="316" t="s">
        <v>149</v>
      </c>
      <c r="G1045" s="321">
        <f>1312</f>
        <v>1312</v>
      </c>
      <c r="H1045" s="321">
        <f t="shared" si="76"/>
        <v>1312</v>
      </c>
      <c r="I1045" s="211"/>
    </row>
    <row r="1046" spans="1:9" ht="47.25" x14ac:dyDescent="0.25">
      <c r="A1046" s="320" t="s">
        <v>883</v>
      </c>
      <c r="B1046" s="314">
        <v>908</v>
      </c>
      <c r="C1046" s="316" t="s">
        <v>249</v>
      </c>
      <c r="D1046" s="316" t="s">
        <v>249</v>
      </c>
      <c r="E1046" s="316" t="s">
        <v>987</v>
      </c>
      <c r="F1046" s="316"/>
      <c r="G1046" s="321">
        <f>G1047</f>
        <v>420</v>
      </c>
      <c r="H1046" s="321">
        <f>H1047</f>
        <v>420</v>
      </c>
      <c r="I1046" s="211"/>
    </row>
    <row r="1047" spans="1:9" ht="78.75" x14ac:dyDescent="0.25">
      <c r="A1047" s="320" t="s">
        <v>142</v>
      </c>
      <c r="B1047" s="314">
        <v>908</v>
      </c>
      <c r="C1047" s="316" t="s">
        <v>249</v>
      </c>
      <c r="D1047" s="316" t="s">
        <v>249</v>
      </c>
      <c r="E1047" s="316" t="s">
        <v>987</v>
      </c>
      <c r="F1047" s="316" t="s">
        <v>143</v>
      </c>
      <c r="G1047" s="321">
        <f>G1048</f>
        <v>420</v>
      </c>
      <c r="H1047" s="321">
        <f>H1048</f>
        <v>420</v>
      </c>
      <c r="I1047" s="211"/>
    </row>
    <row r="1048" spans="1:9" ht="23.25" customHeight="1" x14ac:dyDescent="0.25">
      <c r="A1048" s="320" t="s">
        <v>357</v>
      </c>
      <c r="B1048" s="314">
        <v>908</v>
      </c>
      <c r="C1048" s="316" t="s">
        <v>249</v>
      </c>
      <c r="D1048" s="316" t="s">
        <v>249</v>
      </c>
      <c r="E1048" s="316" t="s">
        <v>987</v>
      </c>
      <c r="F1048" s="316" t="s">
        <v>224</v>
      </c>
      <c r="G1048" s="321">
        <f>420</f>
        <v>420</v>
      </c>
      <c r="H1048" s="321">
        <f t="shared" si="76"/>
        <v>420</v>
      </c>
      <c r="I1048" s="211"/>
    </row>
    <row r="1049" spans="1:9" s="210" customFormat="1" ht="63" hidden="1" x14ac:dyDescent="0.25">
      <c r="A1049" s="34" t="s">
        <v>803</v>
      </c>
      <c r="B1049" s="315">
        <v>908</v>
      </c>
      <c r="C1049" s="319" t="s">
        <v>249</v>
      </c>
      <c r="D1049" s="319" t="s">
        <v>249</v>
      </c>
      <c r="E1049" s="319" t="s">
        <v>339</v>
      </c>
      <c r="F1049" s="319"/>
      <c r="G1049" s="317">
        <f t="shared" ref="G1049:H1052" si="78">G1050</f>
        <v>0</v>
      </c>
      <c r="H1049" s="317">
        <f t="shared" si="78"/>
        <v>0</v>
      </c>
      <c r="I1049" s="211"/>
    </row>
    <row r="1050" spans="1:9" s="210" customFormat="1" ht="63" hidden="1" x14ac:dyDescent="0.25">
      <c r="A1050" s="34" t="s">
        <v>1160</v>
      </c>
      <c r="B1050" s="315">
        <v>908</v>
      </c>
      <c r="C1050" s="319" t="s">
        <v>249</v>
      </c>
      <c r="D1050" s="319" t="s">
        <v>249</v>
      </c>
      <c r="E1050" s="319" t="s">
        <v>1023</v>
      </c>
      <c r="F1050" s="319"/>
      <c r="G1050" s="317">
        <f t="shared" si="78"/>
        <v>0</v>
      </c>
      <c r="H1050" s="317">
        <f t="shared" si="78"/>
        <v>0</v>
      </c>
      <c r="I1050" s="211"/>
    </row>
    <row r="1051" spans="1:9" s="210" customFormat="1" ht="47.25" hidden="1" x14ac:dyDescent="0.25">
      <c r="A1051" s="31" t="s">
        <v>1271</v>
      </c>
      <c r="B1051" s="314">
        <v>908</v>
      </c>
      <c r="C1051" s="316" t="s">
        <v>249</v>
      </c>
      <c r="D1051" s="316" t="s">
        <v>249</v>
      </c>
      <c r="E1051" s="316" t="s">
        <v>1190</v>
      </c>
      <c r="F1051" s="316"/>
      <c r="G1051" s="321">
        <f t="shared" si="78"/>
        <v>0</v>
      </c>
      <c r="H1051" s="321">
        <f t="shared" si="78"/>
        <v>0</v>
      </c>
      <c r="I1051" s="211"/>
    </row>
    <row r="1052" spans="1:9" s="210" customFormat="1" ht="31.5" hidden="1" x14ac:dyDescent="0.25">
      <c r="A1052" s="320" t="s">
        <v>146</v>
      </c>
      <c r="B1052" s="314">
        <v>908</v>
      </c>
      <c r="C1052" s="316" t="s">
        <v>249</v>
      </c>
      <c r="D1052" s="316" t="s">
        <v>249</v>
      </c>
      <c r="E1052" s="316" t="s">
        <v>1190</v>
      </c>
      <c r="F1052" s="316" t="s">
        <v>147</v>
      </c>
      <c r="G1052" s="321">
        <f t="shared" si="78"/>
        <v>0</v>
      </c>
      <c r="H1052" s="321">
        <f t="shared" si="78"/>
        <v>0</v>
      </c>
      <c r="I1052" s="211"/>
    </row>
    <row r="1053" spans="1:9" s="210" customFormat="1" ht="31.5" hidden="1" x14ac:dyDescent="0.25">
      <c r="A1053" s="320" t="s">
        <v>148</v>
      </c>
      <c r="B1053" s="314">
        <v>908</v>
      </c>
      <c r="C1053" s="316" t="s">
        <v>249</v>
      </c>
      <c r="D1053" s="316" t="s">
        <v>249</v>
      </c>
      <c r="E1053" s="316" t="s">
        <v>1190</v>
      </c>
      <c r="F1053" s="316" t="s">
        <v>149</v>
      </c>
      <c r="G1053" s="321">
        <v>0</v>
      </c>
      <c r="H1053" s="321">
        <v>0</v>
      </c>
      <c r="I1053" s="211"/>
    </row>
    <row r="1054" spans="1:9" ht="15.75" x14ac:dyDescent="0.25">
      <c r="A1054" s="318" t="s">
        <v>258</v>
      </c>
      <c r="B1054" s="315">
        <v>908</v>
      </c>
      <c r="C1054" s="319" t="s">
        <v>259</v>
      </c>
      <c r="D1054" s="319"/>
      <c r="E1054" s="319"/>
      <c r="F1054" s="319"/>
      <c r="G1054" s="317">
        <f t="shared" ref="G1054:H1055" si="79">G1055</f>
        <v>87</v>
      </c>
      <c r="H1054" s="317">
        <f t="shared" si="79"/>
        <v>87</v>
      </c>
      <c r="I1054" s="211"/>
    </row>
    <row r="1055" spans="1:9" ht="15.75" x14ac:dyDescent="0.25">
      <c r="A1055" s="318" t="s">
        <v>273</v>
      </c>
      <c r="B1055" s="315">
        <v>908</v>
      </c>
      <c r="C1055" s="319" t="s">
        <v>259</v>
      </c>
      <c r="D1055" s="319" t="s">
        <v>135</v>
      </c>
      <c r="E1055" s="319"/>
      <c r="F1055" s="319"/>
      <c r="G1055" s="317">
        <f t="shared" si="79"/>
        <v>87</v>
      </c>
      <c r="H1055" s="317">
        <f t="shared" si="79"/>
        <v>87</v>
      </c>
      <c r="I1055" s="211"/>
    </row>
    <row r="1056" spans="1:9" ht="15.75" x14ac:dyDescent="0.25">
      <c r="A1056" s="318" t="s">
        <v>156</v>
      </c>
      <c r="B1056" s="315">
        <v>908</v>
      </c>
      <c r="C1056" s="319" t="s">
        <v>259</v>
      </c>
      <c r="D1056" s="319" t="s">
        <v>135</v>
      </c>
      <c r="E1056" s="319" t="s">
        <v>910</v>
      </c>
      <c r="F1056" s="319"/>
      <c r="G1056" s="317">
        <f t="shared" ref="G1056:H1058" si="80">G1057</f>
        <v>87</v>
      </c>
      <c r="H1056" s="317">
        <f t="shared" si="80"/>
        <v>87</v>
      </c>
      <c r="I1056" s="211"/>
    </row>
    <row r="1057" spans="1:13" ht="15.75" x14ac:dyDescent="0.25">
      <c r="A1057" s="318" t="s">
        <v>156</v>
      </c>
      <c r="B1057" s="315">
        <v>908</v>
      </c>
      <c r="C1057" s="319" t="s">
        <v>259</v>
      </c>
      <c r="D1057" s="319" t="s">
        <v>135</v>
      </c>
      <c r="E1057" s="319" t="s">
        <v>909</v>
      </c>
      <c r="F1057" s="319"/>
      <c r="G1057" s="317">
        <f t="shared" si="80"/>
        <v>87</v>
      </c>
      <c r="H1057" s="317">
        <f t="shared" si="80"/>
        <v>87</v>
      </c>
      <c r="I1057" s="211"/>
    </row>
    <row r="1058" spans="1:13" ht="31.5" x14ac:dyDescent="0.25">
      <c r="A1058" s="318" t="s">
        <v>914</v>
      </c>
      <c r="B1058" s="315">
        <v>908</v>
      </c>
      <c r="C1058" s="319" t="s">
        <v>259</v>
      </c>
      <c r="D1058" s="319" t="s">
        <v>135</v>
      </c>
      <c r="E1058" s="319" t="s">
        <v>909</v>
      </c>
      <c r="F1058" s="319"/>
      <c r="G1058" s="317">
        <f t="shared" si="80"/>
        <v>87</v>
      </c>
      <c r="H1058" s="317">
        <f t="shared" si="80"/>
        <v>87</v>
      </c>
      <c r="I1058" s="211"/>
    </row>
    <row r="1059" spans="1:13" ht="15.75" x14ac:dyDescent="0.25">
      <c r="A1059" s="320" t="s">
        <v>587</v>
      </c>
      <c r="B1059" s="314">
        <v>908</v>
      </c>
      <c r="C1059" s="316" t="s">
        <v>259</v>
      </c>
      <c r="D1059" s="316" t="s">
        <v>135</v>
      </c>
      <c r="E1059" s="316" t="s">
        <v>1131</v>
      </c>
      <c r="F1059" s="316"/>
      <c r="G1059" s="321">
        <f>G1060</f>
        <v>87</v>
      </c>
      <c r="H1059" s="321">
        <f>H1060</f>
        <v>87</v>
      </c>
      <c r="I1059" s="211"/>
    </row>
    <row r="1060" spans="1:13" ht="31.5" x14ac:dyDescent="0.25">
      <c r="A1060" s="320" t="s">
        <v>146</v>
      </c>
      <c r="B1060" s="314">
        <v>908</v>
      </c>
      <c r="C1060" s="316" t="s">
        <v>259</v>
      </c>
      <c r="D1060" s="316" t="s">
        <v>135</v>
      </c>
      <c r="E1060" s="316" t="s">
        <v>1131</v>
      </c>
      <c r="F1060" s="316" t="s">
        <v>147</v>
      </c>
      <c r="G1060" s="321">
        <f>G1061</f>
        <v>87</v>
      </c>
      <c r="H1060" s="321">
        <f>H1061</f>
        <v>87</v>
      </c>
      <c r="I1060" s="211"/>
    </row>
    <row r="1061" spans="1:13" ht="31.5" x14ac:dyDescent="0.25">
      <c r="A1061" s="320" t="s">
        <v>148</v>
      </c>
      <c r="B1061" s="314">
        <v>908</v>
      </c>
      <c r="C1061" s="316" t="s">
        <v>259</v>
      </c>
      <c r="D1061" s="316" t="s">
        <v>135</v>
      </c>
      <c r="E1061" s="316" t="s">
        <v>1131</v>
      </c>
      <c r="F1061" s="316" t="s">
        <v>149</v>
      </c>
      <c r="G1061" s="321">
        <f>87</f>
        <v>87</v>
      </c>
      <c r="H1061" s="321">
        <f t="shared" ref="H1061:H1104" si="81">G1061</f>
        <v>87</v>
      </c>
      <c r="I1061" s="211"/>
    </row>
    <row r="1062" spans="1:13" ht="31.5" x14ac:dyDescent="0.25">
      <c r="A1062" s="315" t="s">
        <v>589</v>
      </c>
      <c r="B1062" s="315">
        <v>910</v>
      </c>
      <c r="C1062" s="47"/>
      <c r="D1062" s="47"/>
      <c r="E1062" s="47"/>
      <c r="F1062" s="47"/>
      <c r="G1062" s="317">
        <f>G1063</f>
        <v>7005.5</v>
      </c>
      <c r="H1062" s="317">
        <f>H1063</f>
        <v>7005.5</v>
      </c>
      <c r="I1062" s="211"/>
    </row>
    <row r="1063" spans="1:13" ht="15.75" x14ac:dyDescent="0.25">
      <c r="A1063" s="318" t="s">
        <v>132</v>
      </c>
      <c r="B1063" s="315">
        <v>910</v>
      </c>
      <c r="C1063" s="319" t="s">
        <v>133</v>
      </c>
      <c r="D1063" s="319"/>
      <c r="E1063" s="319"/>
      <c r="F1063" s="319"/>
      <c r="G1063" s="317">
        <f>G1064+G1083+G1094</f>
        <v>7005.5</v>
      </c>
      <c r="H1063" s="317">
        <f>H1064+H1083+H1094</f>
        <v>7005.5</v>
      </c>
      <c r="I1063" s="211"/>
    </row>
    <row r="1064" spans="1:13" ht="47.25" x14ac:dyDescent="0.25">
      <c r="A1064" s="318" t="s">
        <v>590</v>
      </c>
      <c r="B1064" s="315">
        <v>910</v>
      </c>
      <c r="C1064" s="319" t="s">
        <v>133</v>
      </c>
      <c r="D1064" s="319" t="s">
        <v>228</v>
      </c>
      <c r="E1064" s="319"/>
      <c r="F1064" s="319"/>
      <c r="G1064" s="317">
        <f>G1065+G1075</f>
        <v>4268.5</v>
      </c>
      <c r="H1064" s="317">
        <f>H1065+H1075</f>
        <v>4268.5</v>
      </c>
      <c r="I1064" s="211"/>
      <c r="M1064" s="348">
        <f>G1063+G851+G774+G536+G493+G215+G31+G9</f>
        <v>141364.12</v>
      </c>
    </row>
    <row r="1065" spans="1:13" ht="31.5" x14ac:dyDescent="0.25">
      <c r="A1065" s="318" t="s">
        <v>988</v>
      </c>
      <c r="B1065" s="315">
        <v>910</v>
      </c>
      <c r="C1065" s="319" t="s">
        <v>133</v>
      </c>
      <c r="D1065" s="319" t="s">
        <v>228</v>
      </c>
      <c r="E1065" s="319" t="s">
        <v>902</v>
      </c>
      <c r="F1065" s="319"/>
      <c r="G1065" s="317">
        <f>G1066</f>
        <v>4243</v>
      </c>
      <c r="H1065" s="317">
        <f>H1066</f>
        <v>4243</v>
      </c>
      <c r="I1065" s="211"/>
    </row>
    <row r="1066" spans="1:13" ht="31.5" x14ac:dyDescent="0.25">
      <c r="A1066" s="318" t="s">
        <v>1132</v>
      </c>
      <c r="B1066" s="315">
        <v>910</v>
      </c>
      <c r="C1066" s="319" t="s">
        <v>133</v>
      </c>
      <c r="D1066" s="319" t="s">
        <v>228</v>
      </c>
      <c r="E1066" s="319" t="s">
        <v>1133</v>
      </c>
      <c r="F1066" s="319"/>
      <c r="G1066" s="317">
        <f>G1067+G1072</f>
        <v>4243</v>
      </c>
      <c r="H1066" s="317">
        <f>H1067+H1072</f>
        <v>4243</v>
      </c>
      <c r="I1066" s="211"/>
    </row>
    <row r="1067" spans="1:13" ht="31.5" x14ac:dyDescent="0.25">
      <c r="A1067" s="320" t="s">
        <v>591</v>
      </c>
      <c r="B1067" s="314">
        <v>910</v>
      </c>
      <c r="C1067" s="316" t="s">
        <v>133</v>
      </c>
      <c r="D1067" s="316" t="s">
        <v>228</v>
      </c>
      <c r="E1067" s="316" t="s">
        <v>1134</v>
      </c>
      <c r="F1067" s="316"/>
      <c r="G1067" s="321">
        <f>G1068+G1070</f>
        <v>4201</v>
      </c>
      <c r="H1067" s="321">
        <f>H1068+H1070</f>
        <v>4201</v>
      </c>
      <c r="I1067" s="211"/>
    </row>
    <row r="1068" spans="1:13" ht="78.75" x14ac:dyDescent="0.25">
      <c r="A1068" s="320" t="s">
        <v>142</v>
      </c>
      <c r="B1068" s="314">
        <v>910</v>
      </c>
      <c r="C1068" s="316" t="s">
        <v>133</v>
      </c>
      <c r="D1068" s="316" t="s">
        <v>228</v>
      </c>
      <c r="E1068" s="316" t="s">
        <v>1134</v>
      </c>
      <c r="F1068" s="316" t="s">
        <v>143</v>
      </c>
      <c r="G1068" s="321">
        <f>G1069</f>
        <v>4111</v>
      </c>
      <c r="H1068" s="321">
        <f>H1069</f>
        <v>4111</v>
      </c>
      <c r="I1068" s="211"/>
    </row>
    <row r="1069" spans="1:13" ht="31.5" x14ac:dyDescent="0.25">
      <c r="A1069" s="320" t="s">
        <v>144</v>
      </c>
      <c r="B1069" s="314">
        <v>910</v>
      </c>
      <c r="C1069" s="316" t="s">
        <v>133</v>
      </c>
      <c r="D1069" s="316" t="s">
        <v>228</v>
      </c>
      <c r="E1069" s="316" t="s">
        <v>1134</v>
      </c>
      <c r="F1069" s="316" t="s">
        <v>145</v>
      </c>
      <c r="G1069" s="321">
        <f>4111</f>
        <v>4111</v>
      </c>
      <c r="H1069" s="321">
        <f t="shared" si="81"/>
        <v>4111</v>
      </c>
      <c r="I1069" s="211"/>
    </row>
    <row r="1070" spans="1:13" ht="31.5" x14ac:dyDescent="0.25">
      <c r="A1070" s="320" t="s">
        <v>213</v>
      </c>
      <c r="B1070" s="314">
        <v>910</v>
      </c>
      <c r="C1070" s="316" t="s">
        <v>133</v>
      </c>
      <c r="D1070" s="316" t="s">
        <v>228</v>
      </c>
      <c r="E1070" s="316" t="s">
        <v>1134</v>
      </c>
      <c r="F1070" s="316" t="s">
        <v>147</v>
      </c>
      <c r="G1070" s="321">
        <f>G1071</f>
        <v>90</v>
      </c>
      <c r="H1070" s="321">
        <f>H1071</f>
        <v>90</v>
      </c>
      <c r="I1070" s="211"/>
    </row>
    <row r="1071" spans="1:13" ht="31.5" x14ac:dyDescent="0.25">
      <c r="A1071" s="320" t="s">
        <v>148</v>
      </c>
      <c r="B1071" s="314">
        <v>910</v>
      </c>
      <c r="C1071" s="316" t="s">
        <v>133</v>
      </c>
      <c r="D1071" s="316" t="s">
        <v>228</v>
      </c>
      <c r="E1071" s="316" t="s">
        <v>1134</v>
      </c>
      <c r="F1071" s="316" t="s">
        <v>149</v>
      </c>
      <c r="G1071" s="321">
        <f>90</f>
        <v>90</v>
      </c>
      <c r="H1071" s="321">
        <f t="shared" si="81"/>
        <v>90</v>
      </c>
      <c r="I1071" s="211"/>
    </row>
    <row r="1072" spans="1:13" ht="47.25" x14ac:dyDescent="0.25">
      <c r="A1072" s="320" t="s">
        <v>883</v>
      </c>
      <c r="B1072" s="314">
        <v>910</v>
      </c>
      <c r="C1072" s="316" t="s">
        <v>133</v>
      </c>
      <c r="D1072" s="316" t="s">
        <v>228</v>
      </c>
      <c r="E1072" s="316" t="s">
        <v>1135</v>
      </c>
      <c r="F1072" s="316"/>
      <c r="G1072" s="321">
        <f>G1073</f>
        <v>42</v>
      </c>
      <c r="H1072" s="321">
        <f>H1073</f>
        <v>42</v>
      </c>
      <c r="I1072" s="211"/>
    </row>
    <row r="1073" spans="1:9" ht="78.75" x14ac:dyDescent="0.25">
      <c r="A1073" s="320" t="s">
        <v>142</v>
      </c>
      <c r="B1073" s="314">
        <v>910</v>
      </c>
      <c r="C1073" s="316" t="s">
        <v>133</v>
      </c>
      <c r="D1073" s="316" t="s">
        <v>228</v>
      </c>
      <c r="E1073" s="316" t="s">
        <v>1135</v>
      </c>
      <c r="F1073" s="316" t="s">
        <v>143</v>
      </c>
      <c r="G1073" s="321">
        <f>G1074</f>
        <v>42</v>
      </c>
      <c r="H1073" s="321">
        <f>H1074</f>
        <v>42</v>
      </c>
      <c r="I1073" s="211"/>
    </row>
    <row r="1074" spans="1:9" ht="31.5" x14ac:dyDescent="0.25">
      <c r="A1074" s="320" t="s">
        <v>144</v>
      </c>
      <c r="B1074" s="314">
        <v>910</v>
      </c>
      <c r="C1074" s="316" t="s">
        <v>133</v>
      </c>
      <c r="D1074" s="316" t="s">
        <v>228</v>
      </c>
      <c r="E1074" s="316" t="s">
        <v>1135</v>
      </c>
      <c r="F1074" s="316" t="s">
        <v>145</v>
      </c>
      <c r="G1074" s="321">
        <v>42</v>
      </c>
      <c r="H1074" s="321">
        <f t="shared" si="81"/>
        <v>42</v>
      </c>
      <c r="I1074" s="211"/>
    </row>
    <row r="1075" spans="1:9" ht="47.25" x14ac:dyDescent="0.25">
      <c r="A1075" s="318" t="s">
        <v>1430</v>
      </c>
      <c r="B1075" s="315">
        <v>910</v>
      </c>
      <c r="C1075" s="319" t="s">
        <v>133</v>
      </c>
      <c r="D1075" s="319" t="s">
        <v>228</v>
      </c>
      <c r="E1075" s="319" t="s">
        <v>177</v>
      </c>
      <c r="F1075" s="319"/>
      <c r="G1075" s="317">
        <f>G1076</f>
        <v>25.5</v>
      </c>
      <c r="H1075" s="317">
        <f>H1076</f>
        <v>25.5</v>
      </c>
      <c r="I1075" s="211"/>
    </row>
    <row r="1076" spans="1:9" ht="63" x14ac:dyDescent="0.25">
      <c r="A1076" s="225" t="s">
        <v>887</v>
      </c>
      <c r="B1076" s="315">
        <v>910</v>
      </c>
      <c r="C1076" s="319" t="s">
        <v>133</v>
      </c>
      <c r="D1076" s="319" t="s">
        <v>228</v>
      </c>
      <c r="E1076" s="319" t="s">
        <v>894</v>
      </c>
      <c r="F1076" s="319"/>
      <c r="G1076" s="317">
        <f>G1077+G1080</f>
        <v>25.5</v>
      </c>
      <c r="H1076" s="317">
        <f>H1077+H1080</f>
        <v>25.5</v>
      </c>
      <c r="I1076" s="211"/>
    </row>
    <row r="1077" spans="1:9" ht="47.25" x14ac:dyDescent="0.25">
      <c r="A1077" s="31" t="s">
        <v>710</v>
      </c>
      <c r="B1077" s="314">
        <v>910</v>
      </c>
      <c r="C1077" s="316" t="s">
        <v>133</v>
      </c>
      <c r="D1077" s="316" t="s">
        <v>228</v>
      </c>
      <c r="E1077" s="324" t="s">
        <v>1140</v>
      </c>
      <c r="F1077" s="316"/>
      <c r="G1077" s="321">
        <f>G1078</f>
        <v>0.5</v>
      </c>
      <c r="H1077" s="321">
        <f>H1078</f>
        <v>0.5</v>
      </c>
      <c r="I1077" s="211"/>
    </row>
    <row r="1078" spans="1:9" ht="31.5" x14ac:dyDescent="0.25">
      <c r="A1078" s="320" t="s">
        <v>146</v>
      </c>
      <c r="B1078" s="314">
        <v>910</v>
      </c>
      <c r="C1078" s="316" t="s">
        <v>133</v>
      </c>
      <c r="D1078" s="316" t="s">
        <v>228</v>
      </c>
      <c r="E1078" s="324" t="s">
        <v>1140</v>
      </c>
      <c r="F1078" s="316" t="s">
        <v>147</v>
      </c>
      <c r="G1078" s="321">
        <f>G1079</f>
        <v>0.5</v>
      </c>
      <c r="H1078" s="321">
        <f>H1079</f>
        <v>0.5</v>
      </c>
      <c r="I1078" s="211"/>
    </row>
    <row r="1079" spans="1:9" ht="31.5" x14ac:dyDescent="0.25">
      <c r="A1079" s="320" t="s">
        <v>148</v>
      </c>
      <c r="B1079" s="314">
        <v>910</v>
      </c>
      <c r="C1079" s="316" t="s">
        <v>133</v>
      </c>
      <c r="D1079" s="316" t="s">
        <v>228</v>
      </c>
      <c r="E1079" s="324" t="s">
        <v>711</v>
      </c>
      <c r="F1079" s="316" t="s">
        <v>149</v>
      </c>
      <c r="G1079" s="321">
        <v>0.5</v>
      </c>
      <c r="H1079" s="321">
        <f t="shared" si="81"/>
        <v>0.5</v>
      </c>
      <c r="I1079" s="211"/>
    </row>
    <row r="1080" spans="1:9" ht="47.25" x14ac:dyDescent="0.25">
      <c r="A1080" s="31" t="s">
        <v>710</v>
      </c>
      <c r="B1080" s="314">
        <v>910</v>
      </c>
      <c r="C1080" s="316" t="s">
        <v>133</v>
      </c>
      <c r="D1080" s="316" t="s">
        <v>228</v>
      </c>
      <c r="E1080" s="316" t="s">
        <v>1139</v>
      </c>
      <c r="F1080" s="316"/>
      <c r="G1080" s="321">
        <f>G1081</f>
        <v>25</v>
      </c>
      <c r="H1080" s="321">
        <f>H1081</f>
        <v>25</v>
      </c>
      <c r="I1080" s="211"/>
    </row>
    <row r="1081" spans="1:9" ht="31.5" x14ac:dyDescent="0.25">
      <c r="A1081" s="320" t="s">
        <v>146</v>
      </c>
      <c r="B1081" s="314">
        <v>910</v>
      </c>
      <c r="C1081" s="316" t="s">
        <v>133</v>
      </c>
      <c r="D1081" s="316" t="s">
        <v>228</v>
      </c>
      <c r="E1081" s="316" t="s">
        <v>1139</v>
      </c>
      <c r="F1081" s="316" t="s">
        <v>147</v>
      </c>
      <c r="G1081" s="321">
        <f>G1082</f>
        <v>25</v>
      </c>
      <c r="H1081" s="321">
        <f>H1082</f>
        <v>25</v>
      </c>
      <c r="I1081" s="211"/>
    </row>
    <row r="1082" spans="1:9" ht="31.5" x14ac:dyDescent="0.25">
      <c r="A1082" s="320" t="s">
        <v>148</v>
      </c>
      <c r="B1082" s="314">
        <v>910</v>
      </c>
      <c r="C1082" s="316" t="s">
        <v>133</v>
      </c>
      <c r="D1082" s="316" t="s">
        <v>228</v>
      </c>
      <c r="E1082" s="316" t="s">
        <v>1139</v>
      </c>
      <c r="F1082" s="316" t="s">
        <v>149</v>
      </c>
      <c r="G1082" s="321">
        <f>25</f>
        <v>25</v>
      </c>
      <c r="H1082" s="321">
        <f t="shared" si="81"/>
        <v>25</v>
      </c>
      <c r="I1082" s="211"/>
    </row>
    <row r="1083" spans="1:9" ht="63" x14ac:dyDescent="0.25">
      <c r="A1083" s="318" t="s">
        <v>593</v>
      </c>
      <c r="B1083" s="315">
        <v>910</v>
      </c>
      <c r="C1083" s="319" t="s">
        <v>133</v>
      </c>
      <c r="D1083" s="319" t="s">
        <v>230</v>
      </c>
      <c r="E1083" s="319"/>
      <c r="F1083" s="319"/>
      <c r="G1083" s="317">
        <f>G1084</f>
        <v>1091</v>
      </c>
      <c r="H1083" s="317">
        <f>H1084</f>
        <v>1091</v>
      </c>
      <c r="I1083" s="211"/>
    </row>
    <row r="1084" spans="1:9" ht="31.5" x14ac:dyDescent="0.25">
      <c r="A1084" s="318" t="s">
        <v>988</v>
      </c>
      <c r="B1084" s="315">
        <v>910</v>
      </c>
      <c r="C1084" s="319" t="s">
        <v>133</v>
      </c>
      <c r="D1084" s="319" t="s">
        <v>230</v>
      </c>
      <c r="E1084" s="319" t="s">
        <v>902</v>
      </c>
      <c r="F1084" s="319"/>
      <c r="G1084" s="317">
        <f>G1085</f>
        <v>1091</v>
      </c>
      <c r="H1084" s="317">
        <f>H1085</f>
        <v>1091</v>
      </c>
      <c r="I1084" s="211"/>
    </row>
    <row r="1085" spans="1:9" ht="31.5" x14ac:dyDescent="0.25">
      <c r="A1085" s="318" t="s">
        <v>1132</v>
      </c>
      <c r="B1085" s="315">
        <v>910</v>
      </c>
      <c r="C1085" s="319" t="s">
        <v>133</v>
      </c>
      <c r="D1085" s="319" t="s">
        <v>230</v>
      </c>
      <c r="E1085" s="319" t="s">
        <v>1133</v>
      </c>
      <c r="F1085" s="319"/>
      <c r="G1085" s="317">
        <f>G1086+G1091</f>
        <v>1091</v>
      </c>
      <c r="H1085" s="317">
        <f>H1086+H1091</f>
        <v>1091</v>
      </c>
      <c r="I1085" s="211"/>
    </row>
    <row r="1086" spans="1:9" ht="31.5" x14ac:dyDescent="0.25">
      <c r="A1086" s="320" t="s">
        <v>1136</v>
      </c>
      <c r="B1086" s="314">
        <v>910</v>
      </c>
      <c r="C1086" s="316" t="s">
        <v>133</v>
      </c>
      <c r="D1086" s="316" t="s">
        <v>230</v>
      </c>
      <c r="E1086" s="316" t="s">
        <v>1137</v>
      </c>
      <c r="F1086" s="316"/>
      <c r="G1086" s="321">
        <f>G1087+G1089</f>
        <v>1091</v>
      </c>
      <c r="H1086" s="321">
        <f>H1087+H1089</f>
        <v>1091</v>
      </c>
      <c r="I1086" s="211"/>
    </row>
    <row r="1087" spans="1:9" ht="78.75" x14ac:dyDescent="0.25">
      <c r="A1087" s="320" t="s">
        <v>142</v>
      </c>
      <c r="B1087" s="314">
        <v>910</v>
      </c>
      <c r="C1087" s="316" t="s">
        <v>133</v>
      </c>
      <c r="D1087" s="316" t="s">
        <v>230</v>
      </c>
      <c r="E1087" s="316" t="s">
        <v>1137</v>
      </c>
      <c r="F1087" s="316" t="s">
        <v>143</v>
      </c>
      <c r="G1087" s="321">
        <f>G1088</f>
        <v>998</v>
      </c>
      <c r="H1087" s="321">
        <f>H1088</f>
        <v>998</v>
      </c>
      <c r="I1087" s="211"/>
    </row>
    <row r="1088" spans="1:9" ht="31.5" x14ac:dyDescent="0.25">
      <c r="A1088" s="320" t="s">
        <v>144</v>
      </c>
      <c r="B1088" s="314">
        <v>910</v>
      </c>
      <c r="C1088" s="316" t="s">
        <v>133</v>
      </c>
      <c r="D1088" s="316" t="s">
        <v>230</v>
      </c>
      <c r="E1088" s="316" t="s">
        <v>1137</v>
      </c>
      <c r="F1088" s="316" t="s">
        <v>145</v>
      </c>
      <c r="G1088" s="321">
        <f>998</f>
        <v>998</v>
      </c>
      <c r="H1088" s="321">
        <f t="shared" si="81"/>
        <v>998</v>
      </c>
      <c r="I1088" s="211"/>
    </row>
    <row r="1089" spans="1:9" ht="31.5" x14ac:dyDescent="0.25">
      <c r="A1089" s="320" t="s">
        <v>213</v>
      </c>
      <c r="B1089" s="314">
        <v>910</v>
      </c>
      <c r="C1089" s="316" t="s">
        <v>133</v>
      </c>
      <c r="D1089" s="316" t="s">
        <v>230</v>
      </c>
      <c r="E1089" s="316" t="s">
        <v>1137</v>
      </c>
      <c r="F1089" s="316" t="s">
        <v>147</v>
      </c>
      <c r="G1089" s="321">
        <f>G1090</f>
        <v>93</v>
      </c>
      <c r="H1089" s="321">
        <f>H1090</f>
        <v>93</v>
      </c>
      <c r="I1089" s="211"/>
    </row>
    <row r="1090" spans="1:9" ht="31.5" x14ac:dyDescent="0.25">
      <c r="A1090" s="320" t="s">
        <v>148</v>
      </c>
      <c r="B1090" s="314">
        <v>910</v>
      </c>
      <c r="C1090" s="316" t="s">
        <v>133</v>
      </c>
      <c r="D1090" s="316" t="s">
        <v>230</v>
      </c>
      <c r="E1090" s="316" t="s">
        <v>1137</v>
      </c>
      <c r="F1090" s="316" t="s">
        <v>149</v>
      </c>
      <c r="G1090" s="321">
        <f>93</f>
        <v>93</v>
      </c>
      <c r="H1090" s="321">
        <f t="shared" si="81"/>
        <v>93</v>
      </c>
      <c r="I1090" s="211"/>
    </row>
    <row r="1091" spans="1:9" ht="47.25" hidden="1" x14ac:dyDescent="0.25">
      <c r="A1091" s="320" t="s">
        <v>883</v>
      </c>
      <c r="B1091" s="314">
        <v>910</v>
      </c>
      <c r="C1091" s="316" t="s">
        <v>133</v>
      </c>
      <c r="D1091" s="316" t="s">
        <v>230</v>
      </c>
      <c r="E1091" s="316" t="s">
        <v>1135</v>
      </c>
      <c r="F1091" s="316"/>
      <c r="G1091" s="321">
        <f>'Пр.4 ведом.20'!G1227</f>
        <v>0</v>
      </c>
      <c r="H1091" s="321">
        <f t="shared" si="81"/>
        <v>0</v>
      </c>
      <c r="I1091" s="211"/>
    </row>
    <row r="1092" spans="1:9" ht="78.75" hidden="1" x14ac:dyDescent="0.25">
      <c r="A1092" s="320" t="s">
        <v>142</v>
      </c>
      <c r="B1092" s="314">
        <v>910</v>
      </c>
      <c r="C1092" s="316" t="s">
        <v>133</v>
      </c>
      <c r="D1092" s="316" t="s">
        <v>230</v>
      </c>
      <c r="E1092" s="316" t="s">
        <v>1135</v>
      </c>
      <c r="F1092" s="316" t="s">
        <v>143</v>
      </c>
      <c r="G1092" s="321">
        <f>'Пр.4 ведом.20'!G1228</f>
        <v>0</v>
      </c>
      <c r="H1092" s="321">
        <f t="shared" si="81"/>
        <v>0</v>
      </c>
      <c r="I1092" s="211"/>
    </row>
    <row r="1093" spans="1:9" ht="31.5" hidden="1" x14ac:dyDescent="0.25">
      <c r="A1093" s="320" t="s">
        <v>144</v>
      </c>
      <c r="B1093" s="314">
        <v>910</v>
      </c>
      <c r="C1093" s="316" t="s">
        <v>133</v>
      </c>
      <c r="D1093" s="316" t="s">
        <v>230</v>
      </c>
      <c r="E1093" s="316" t="s">
        <v>1135</v>
      </c>
      <c r="F1093" s="316" t="s">
        <v>145</v>
      </c>
      <c r="G1093" s="321">
        <f>'Пр.4 ведом.20'!G1229</f>
        <v>0</v>
      </c>
      <c r="H1093" s="321">
        <f t="shared" si="81"/>
        <v>0</v>
      </c>
      <c r="I1093" s="211"/>
    </row>
    <row r="1094" spans="1:9" ht="47.25" x14ac:dyDescent="0.25">
      <c r="A1094" s="318" t="s">
        <v>134</v>
      </c>
      <c r="B1094" s="315">
        <v>910</v>
      </c>
      <c r="C1094" s="319" t="s">
        <v>133</v>
      </c>
      <c r="D1094" s="319" t="s">
        <v>135</v>
      </c>
      <c r="E1094" s="319"/>
      <c r="F1094" s="319"/>
      <c r="G1094" s="317">
        <f>G1095</f>
        <v>1646</v>
      </c>
      <c r="H1094" s="317">
        <f>H1095</f>
        <v>1646</v>
      </c>
      <c r="I1094" s="211"/>
    </row>
    <row r="1095" spans="1:9" ht="31.5" x14ac:dyDescent="0.25">
      <c r="A1095" s="318" t="s">
        <v>988</v>
      </c>
      <c r="B1095" s="315">
        <v>910</v>
      </c>
      <c r="C1095" s="319" t="s">
        <v>133</v>
      </c>
      <c r="D1095" s="319" t="s">
        <v>135</v>
      </c>
      <c r="E1095" s="319" t="s">
        <v>902</v>
      </c>
      <c r="F1095" s="319"/>
      <c r="G1095" s="317">
        <f>G1096</f>
        <v>1646</v>
      </c>
      <c r="H1095" s="317">
        <f>H1096</f>
        <v>1646</v>
      </c>
      <c r="I1095" s="211"/>
    </row>
    <row r="1096" spans="1:9" ht="31.5" x14ac:dyDescent="0.25">
      <c r="A1096" s="318" t="s">
        <v>1132</v>
      </c>
      <c r="B1096" s="315">
        <v>910</v>
      </c>
      <c r="C1096" s="319" t="s">
        <v>133</v>
      </c>
      <c r="D1096" s="319" t="s">
        <v>135</v>
      </c>
      <c r="E1096" s="319" t="s">
        <v>1133</v>
      </c>
      <c r="F1096" s="319"/>
      <c r="G1096" s="317">
        <f>G1097+G1102</f>
        <v>1646</v>
      </c>
      <c r="H1096" s="317">
        <f>H1097+H1102</f>
        <v>1646</v>
      </c>
      <c r="I1096" s="211"/>
    </row>
    <row r="1097" spans="1:9" ht="31.5" x14ac:dyDescent="0.25">
      <c r="A1097" s="320" t="s">
        <v>965</v>
      </c>
      <c r="B1097" s="314">
        <v>910</v>
      </c>
      <c r="C1097" s="316" t="s">
        <v>133</v>
      </c>
      <c r="D1097" s="316" t="s">
        <v>135</v>
      </c>
      <c r="E1097" s="316" t="s">
        <v>1137</v>
      </c>
      <c r="F1097" s="316"/>
      <c r="G1097" s="321">
        <f>G1098+G1100</f>
        <v>1604</v>
      </c>
      <c r="H1097" s="321">
        <f>H1098+H1100</f>
        <v>1604</v>
      </c>
      <c r="I1097" s="211"/>
    </row>
    <row r="1098" spans="1:9" ht="78.75" x14ac:dyDescent="0.25">
      <c r="A1098" s="320" t="s">
        <v>142</v>
      </c>
      <c r="B1098" s="314">
        <v>910</v>
      </c>
      <c r="C1098" s="316" t="s">
        <v>133</v>
      </c>
      <c r="D1098" s="316" t="s">
        <v>135</v>
      </c>
      <c r="E1098" s="316" t="s">
        <v>1137</v>
      </c>
      <c r="F1098" s="316" t="s">
        <v>143</v>
      </c>
      <c r="G1098" s="321">
        <f>G1099</f>
        <v>1586</v>
      </c>
      <c r="H1098" s="321">
        <f>H1099</f>
        <v>1586</v>
      </c>
      <c r="I1098" s="211"/>
    </row>
    <row r="1099" spans="1:9" ht="31.5" x14ac:dyDescent="0.25">
      <c r="A1099" s="320" t="s">
        <v>144</v>
      </c>
      <c r="B1099" s="314">
        <v>910</v>
      </c>
      <c r="C1099" s="316" t="s">
        <v>133</v>
      </c>
      <c r="D1099" s="316" t="s">
        <v>135</v>
      </c>
      <c r="E1099" s="316" t="s">
        <v>1137</v>
      </c>
      <c r="F1099" s="316" t="s">
        <v>145</v>
      </c>
      <c r="G1099" s="321">
        <f>1586</f>
        <v>1586</v>
      </c>
      <c r="H1099" s="321">
        <f t="shared" si="81"/>
        <v>1586</v>
      </c>
      <c r="I1099" s="211"/>
    </row>
    <row r="1100" spans="1:9" ht="31.5" x14ac:dyDescent="0.25">
      <c r="A1100" s="320" t="s">
        <v>213</v>
      </c>
      <c r="B1100" s="314">
        <v>910</v>
      </c>
      <c r="C1100" s="316" t="s">
        <v>133</v>
      </c>
      <c r="D1100" s="316" t="s">
        <v>135</v>
      </c>
      <c r="E1100" s="316" t="s">
        <v>1137</v>
      </c>
      <c r="F1100" s="316" t="s">
        <v>147</v>
      </c>
      <c r="G1100" s="321">
        <f>G1101</f>
        <v>18</v>
      </c>
      <c r="H1100" s="321">
        <f>H1101</f>
        <v>18</v>
      </c>
      <c r="I1100" s="211"/>
    </row>
    <row r="1101" spans="1:9" ht="31.5" x14ac:dyDescent="0.25">
      <c r="A1101" s="320" t="s">
        <v>148</v>
      </c>
      <c r="B1101" s="314">
        <v>910</v>
      </c>
      <c r="C1101" s="316" t="s">
        <v>133</v>
      </c>
      <c r="D1101" s="316" t="s">
        <v>135</v>
      </c>
      <c r="E1101" s="316" t="s">
        <v>1137</v>
      </c>
      <c r="F1101" s="316" t="s">
        <v>149</v>
      </c>
      <c r="G1101" s="321">
        <f>18</f>
        <v>18</v>
      </c>
      <c r="H1101" s="321">
        <f t="shared" si="81"/>
        <v>18</v>
      </c>
      <c r="I1101" s="211"/>
    </row>
    <row r="1102" spans="1:9" ht="47.25" x14ac:dyDescent="0.25">
      <c r="A1102" s="320" t="s">
        <v>883</v>
      </c>
      <c r="B1102" s="314">
        <v>910</v>
      </c>
      <c r="C1102" s="316" t="s">
        <v>133</v>
      </c>
      <c r="D1102" s="316" t="s">
        <v>135</v>
      </c>
      <c r="E1102" s="316" t="s">
        <v>1135</v>
      </c>
      <c r="F1102" s="316"/>
      <c r="G1102" s="321">
        <f>G1103</f>
        <v>42</v>
      </c>
      <c r="H1102" s="321">
        <f>H1103</f>
        <v>42</v>
      </c>
      <c r="I1102" s="211"/>
    </row>
    <row r="1103" spans="1:9" ht="78.75" x14ac:dyDescent="0.25">
      <c r="A1103" s="320" t="s">
        <v>142</v>
      </c>
      <c r="B1103" s="314">
        <v>910</v>
      </c>
      <c r="C1103" s="316" t="s">
        <v>133</v>
      </c>
      <c r="D1103" s="316" t="s">
        <v>135</v>
      </c>
      <c r="E1103" s="316" t="s">
        <v>1135</v>
      </c>
      <c r="F1103" s="316" t="s">
        <v>143</v>
      </c>
      <c r="G1103" s="321">
        <f>G1104</f>
        <v>42</v>
      </c>
      <c r="H1103" s="321">
        <f>H1104</f>
        <v>42</v>
      </c>
      <c r="I1103" s="211"/>
    </row>
    <row r="1104" spans="1:9" ht="31.5" x14ac:dyDescent="0.25">
      <c r="A1104" s="320" t="s">
        <v>144</v>
      </c>
      <c r="B1104" s="314">
        <v>910</v>
      </c>
      <c r="C1104" s="316" t="s">
        <v>133</v>
      </c>
      <c r="D1104" s="316" t="s">
        <v>135</v>
      </c>
      <c r="E1104" s="316" t="s">
        <v>1135</v>
      </c>
      <c r="F1104" s="316" t="s">
        <v>145</v>
      </c>
      <c r="G1104" s="321">
        <f>42</f>
        <v>42</v>
      </c>
      <c r="H1104" s="321">
        <f t="shared" si="81"/>
        <v>42</v>
      </c>
      <c r="I1104" s="211"/>
    </row>
    <row r="1105" spans="1:10" ht="15.75" x14ac:dyDescent="0.25">
      <c r="A1105" s="48" t="s">
        <v>602</v>
      </c>
      <c r="B1105" s="48"/>
      <c r="C1105" s="319"/>
      <c r="D1105" s="319"/>
      <c r="E1105" s="319"/>
      <c r="F1105" s="319"/>
      <c r="G1105" s="282">
        <f>G1062+G850+G773+G535+G492+G214+G30+G9</f>
        <v>753520.63179999997</v>
      </c>
      <c r="H1105" s="282">
        <f>H1062+H850+H773+H535+H492+H214+H30+H9</f>
        <v>735832.81979999994</v>
      </c>
      <c r="I1105" s="211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07"/>
    </row>
    <row r="1107" spans="1:10" ht="18.75" hidden="1" x14ac:dyDescent="0.3">
      <c r="A1107" s="50"/>
      <c r="B1107" s="50"/>
      <c r="C1107" s="51"/>
      <c r="D1107" s="51"/>
      <c r="E1107" s="51"/>
      <c r="F1107" s="102" t="s">
        <v>603</v>
      </c>
      <c r="G1107" s="52">
        <f>G1105-G1108</f>
        <v>458008.07399999996</v>
      </c>
      <c r="H1107" s="52">
        <f>H1105-H1108</f>
        <v>465606.31999999995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604</v>
      </c>
      <c r="G1108" s="52">
        <f>G50+G167+G176+G208+G223+G256+G263+G303+G363+G392+G395+G448+G521+G557+G598+G631+G671+G678+G709+G743+G812+G1007+G1014+G919+G270+G187+G84+G1080-44-500-239.82+G610+G507+G203+G367</f>
        <v>295512.55780000001</v>
      </c>
      <c r="H1108" s="52">
        <f>H50+H167+H176+H208+H223+H256+H263+H303+H363+H392+H395+H448+H521+H557+H598+H631+H671+H678+H709+H743+H812+H1007+H1014+H919+H270+H187+H84+H1080-54-500-239.82+H610+H507+H203+H367</f>
        <v>270226.49979999999</v>
      </c>
      <c r="I1108" s="214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40">
        <f>I1108-G1108</f>
        <v>-28066.157799999986</v>
      </c>
      <c r="J1109" s="240">
        <f>J1108-H1108</f>
        <v>-9907.2997999999789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06"/>
      <c r="H1110" s="306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141364.12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603</v>
      </c>
      <c r="D1113" s="53"/>
      <c r="E1113" s="53"/>
      <c r="F1113" s="53"/>
      <c r="G1113" s="55">
        <f>G1112-G1114</f>
        <v>135167.82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604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603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604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61026.499800000005</v>
      </c>
      <c r="H1120" s="55">
        <f>H891+H525</f>
        <v>44867.899799999999</v>
      </c>
    </row>
    <row r="1121" spans="1:8" ht="15.75" hidden="1" x14ac:dyDescent="0.25">
      <c r="A1121" s="50"/>
      <c r="B1121" s="50"/>
      <c r="C1121" s="54" t="s">
        <v>603</v>
      </c>
      <c r="D1121" s="53"/>
      <c r="E1121" s="53"/>
      <c r="F1121" s="53"/>
      <c r="G1121" s="55">
        <f>G1120-G1122</f>
        <v>36803</v>
      </c>
      <c r="H1121" s="55">
        <f>H1120-H1122</f>
        <v>35561.399999999994</v>
      </c>
    </row>
    <row r="1122" spans="1:8" ht="15.75" hidden="1" x14ac:dyDescent="0.25">
      <c r="A1122" s="50"/>
      <c r="B1122" s="50"/>
      <c r="C1122" s="54" t="s">
        <v>604</v>
      </c>
      <c r="D1122" s="53"/>
      <c r="E1122" s="53"/>
      <c r="F1122" s="53"/>
      <c r="G1122" s="55">
        <f>G919+G1007+G1016+G897-500</f>
        <v>24223.499800000001</v>
      </c>
      <c r="H1122" s="55">
        <f>H919+H1007+H1016+H897-500</f>
        <v>9306.4998000000014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381259.7</v>
      </c>
      <c r="H1123" s="55">
        <f>H546+H277</f>
        <v>381268.2</v>
      </c>
    </row>
    <row r="1124" spans="1:8" ht="15.75" hidden="1" x14ac:dyDescent="0.25">
      <c r="A1124" s="50"/>
      <c r="B1124" s="50"/>
      <c r="C1124" s="54" t="s">
        <v>603</v>
      </c>
      <c r="D1124" s="53"/>
      <c r="E1124" s="53"/>
      <c r="F1124" s="53"/>
      <c r="G1124" s="55">
        <f>G1123-G1125</f>
        <v>131427.69999999995</v>
      </c>
      <c r="H1124" s="55">
        <f>H1123-H1125</f>
        <v>131427.69999999995</v>
      </c>
    </row>
    <row r="1125" spans="1:8" ht="15.75" hidden="1" x14ac:dyDescent="0.25">
      <c r="A1125" s="50"/>
      <c r="B1125" s="50"/>
      <c r="C1125" s="54" t="s">
        <v>604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603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604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603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604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58483.6</v>
      </c>
      <c r="H1132" s="55">
        <f>H781</f>
        <v>58483.6</v>
      </c>
    </row>
    <row r="1133" spans="1:8" ht="15.75" hidden="1" x14ac:dyDescent="0.25">
      <c r="A1133" s="50"/>
      <c r="B1133" s="50"/>
      <c r="C1133" s="54" t="s">
        <v>603</v>
      </c>
      <c r="D1133" s="53"/>
      <c r="E1133" s="53"/>
      <c r="F1133" s="53"/>
      <c r="G1133" s="55">
        <f>G1132-G1134</f>
        <v>57670.1</v>
      </c>
      <c r="H1133" s="55">
        <f>H1132-H1134</f>
        <v>57670.1</v>
      </c>
    </row>
    <row r="1134" spans="1:8" ht="15.75" hidden="1" x14ac:dyDescent="0.25">
      <c r="A1134" s="50"/>
      <c r="B1134" s="50"/>
      <c r="C1134" s="54" t="s">
        <v>604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753520.63179999997</v>
      </c>
      <c r="H1136" s="104">
        <f>H1112+H1115+H1116+H1117+H1120+H1123+H1126+H1129+H1132+H1135</f>
        <v>735832.81979999994</v>
      </c>
    </row>
    <row r="1137" spans="1:8" ht="15.75" hidden="1" x14ac:dyDescent="0.25">
      <c r="A1137" s="50"/>
      <c r="B1137" s="50"/>
      <c r="C1137" s="54" t="s">
        <v>603</v>
      </c>
      <c r="D1137" s="53"/>
      <c r="E1137" s="53"/>
      <c r="F1137" s="53"/>
      <c r="G1137" s="104">
        <f>G1113+G1115+G1116+G1118+G1121+G1124+G1127+G1130+G1133+G1135</f>
        <v>458008.07399999996</v>
      </c>
      <c r="H1137" s="104">
        <f>H1113+H1115+H1116+H1118+H1121+H1124+H1127+H1130+H1133+H1135</f>
        <v>465606.31999999989</v>
      </c>
    </row>
    <row r="1138" spans="1:8" ht="15.75" hidden="1" x14ac:dyDescent="0.25">
      <c r="A1138" s="50"/>
      <c r="B1138" s="50"/>
      <c r="C1138" s="54" t="s">
        <v>604</v>
      </c>
      <c r="D1138" s="53"/>
      <c r="E1138" s="53"/>
      <c r="F1138" s="53"/>
      <c r="G1138" s="104">
        <f>G1136-G1137</f>
        <v>295512.55780000001</v>
      </c>
      <c r="H1138" s="104">
        <f>H1136-H1137</f>
        <v>270226.49980000005</v>
      </c>
    </row>
    <row r="1139" spans="1:8" hidden="1" x14ac:dyDescent="0.25">
      <c r="G1139" s="212"/>
      <c r="H1139" s="212"/>
    </row>
    <row r="1140" spans="1:8" hidden="1" x14ac:dyDescent="0.25">
      <c r="D1140" s="310" t="s">
        <v>605</v>
      </c>
      <c r="E1140" s="310">
        <v>50</v>
      </c>
      <c r="G1140" s="212">
        <f>G880</f>
        <v>3189</v>
      </c>
      <c r="H1140" s="212">
        <f>H880</f>
        <v>3278</v>
      </c>
    </row>
    <row r="1141" spans="1:8" hidden="1" x14ac:dyDescent="0.25">
      <c r="E1141" s="310">
        <v>51</v>
      </c>
      <c r="G1141" s="212">
        <f>G217+G250+G322+G438+G446</f>
        <v>3474</v>
      </c>
      <c r="H1141" s="212">
        <f>H217+H250+H322+H438+H446</f>
        <v>3362.7</v>
      </c>
    </row>
    <row r="1142" spans="1:8" hidden="1" x14ac:dyDescent="0.25">
      <c r="E1142" s="310">
        <v>52</v>
      </c>
      <c r="G1142" s="212">
        <f>G548+G619+G703+G737</f>
        <v>342316.70000000007</v>
      </c>
      <c r="H1142" s="212">
        <f>H548+H619+H703+H737</f>
        <v>342325.20000000007</v>
      </c>
    </row>
    <row r="1143" spans="1:8" hidden="1" x14ac:dyDescent="0.25">
      <c r="E1143" s="310">
        <v>53</v>
      </c>
      <c r="G1143" s="212">
        <f>G182</f>
        <v>0</v>
      </c>
      <c r="H1143" s="212">
        <f>H182</f>
        <v>0</v>
      </c>
    </row>
    <row r="1144" spans="1:8" hidden="1" x14ac:dyDescent="0.25">
      <c r="E1144" s="310">
        <v>54</v>
      </c>
      <c r="G1144" s="212">
        <f>G1075+G69</f>
        <v>549</v>
      </c>
      <c r="H1144" s="212">
        <f>H1075+H69</f>
        <v>549</v>
      </c>
    </row>
    <row r="1145" spans="1:8" hidden="1" x14ac:dyDescent="0.25">
      <c r="E1145" s="310">
        <v>55</v>
      </c>
      <c r="G1145" s="212">
        <f>G198</f>
        <v>5010</v>
      </c>
      <c r="H1145" s="212">
        <f>H198</f>
        <v>10</v>
      </c>
    </row>
    <row r="1146" spans="1:8" hidden="1" x14ac:dyDescent="0.25">
      <c r="E1146" s="310">
        <v>56</v>
      </c>
      <c r="G1146" s="212"/>
      <c r="H1146" s="212"/>
    </row>
    <row r="1147" spans="1:8" hidden="1" x14ac:dyDescent="0.25">
      <c r="E1147" s="310">
        <v>57</v>
      </c>
      <c r="G1147" s="212">
        <f>G783+G842</f>
        <v>48187.5</v>
      </c>
      <c r="H1147" s="212">
        <f>H783+H842</f>
        <v>48187.5</v>
      </c>
    </row>
    <row r="1148" spans="1:8" hidden="1" x14ac:dyDescent="0.25">
      <c r="E1148" s="310">
        <v>58</v>
      </c>
      <c r="G1148" s="212">
        <f>G279+G344+G371</f>
        <v>68780.012000000002</v>
      </c>
      <c r="H1148" s="212">
        <f>H279+H344+H371</f>
        <v>66505.7</v>
      </c>
    </row>
    <row r="1149" spans="1:8" hidden="1" x14ac:dyDescent="0.25">
      <c r="E1149" s="310">
        <v>59</v>
      </c>
      <c r="G1149" s="212">
        <f>G601+G692+G1049+G405</f>
        <v>0</v>
      </c>
      <c r="H1149" s="212">
        <f>H601+H692+H1049+H405</f>
        <v>0</v>
      </c>
    </row>
    <row r="1150" spans="1:8" hidden="1" x14ac:dyDescent="0.25">
      <c r="E1150" s="310">
        <v>60</v>
      </c>
      <c r="G1150" s="212">
        <f>G976</f>
        <v>3244.5</v>
      </c>
      <c r="H1150" s="212">
        <f>H976</f>
        <v>10636.5</v>
      </c>
    </row>
    <row r="1151" spans="1:8" hidden="1" x14ac:dyDescent="0.25">
      <c r="E1151" s="310">
        <v>61</v>
      </c>
      <c r="G1151" s="212">
        <f>G162</f>
        <v>306</v>
      </c>
      <c r="H1151" s="212">
        <f>H162</f>
        <v>306</v>
      </c>
    </row>
    <row r="1152" spans="1:8" hidden="1" x14ac:dyDescent="0.25">
      <c r="E1152" s="310">
        <v>62</v>
      </c>
      <c r="G1152" s="212">
        <f>G936</f>
        <v>700</v>
      </c>
      <c r="H1152" s="212">
        <f>H936</f>
        <v>700</v>
      </c>
    </row>
    <row r="1153" spans="1:8" hidden="1" x14ac:dyDescent="0.25">
      <c r="E1153" s="310">
        <v>63</v>
      </c>
      <c r="G1153" s="212">
        <f>G226+G538+G776</f>
        <v>175</v>
      </c>
      <c r="H1153" s="212">
        <f>H226+H538+H776</f>
        <v>175</v>
      </c>
    </row>
    <row r="1154" spans="1:8" hidden="1" x14ac:dyDescent="0.25">
      <c r="E1154" s="310">
        <v>64</v>
      </c>
      <c r="G1154" s="212">
        <f>G115+G316+G410+G613+G697+G731+G816+G243+G487</f>
        <v>3147.6</v>
      </c>
      <c r="H1154" s="212">
        <f>H115+H316+H410+H613+H697+H731+H816+H243+H487</f>
        <v>3147.6</v>
      </c>
    </row>
    <row r="1155" spans="1:8" hidden="1" x14ac:dyDescent="0.25">
      <c r="E1155" s="310">
        <v>65</v>
      </c>
      <c r="G1155" s="212">
        <f>G1014</f>
        <v>22809</v>
      </c>
      <c r="H1155" s="212">
        <f>H1014</f>
        <v>500</v>
      </c>
    </row>
    <row r="1156" spans="1:8" hidden="1" x14ac:dyDescent="0.25">
      <c r="E1156" s="310">
        <v>66</v>
      </c>
      <c r="G1156" s="212">
        <f>G520</f>
        <v>3266.2200000000003</v>
      </c>
      <c r="H1156" s="212">
        <f>H520</f>
        <v>239.82000000000016</v>
      </c>
    </row>
    <row r="1157" spans="1:8" hidden="1" x14ac:dyDescent="0.25">
      <c r="E1157" s="310">
        <v>67</v>
      </c>
      <c r="G1157" s="212">
        <f>G124</f>
        <v>40</v>
      </c>
      <c r="H1157" s="212">
        <f>H124</f>
        <v>40</v>
      </c>
    </row>
    <row r="1158" spans="1:8" hidden="1" x14ac:dyDescent="0.25">
      <c r="E1158" s="310">
        <v>69</v>
      </c>
      <c r="G1158" s="116">
        <f>G129</f>
        <v>100</v>
      </c>
      <c r="H1158" s="116">
        <f>H129</f>
        <v>100</v>
      </c>
    </row>
    <row r="1159" spans="1:8" s="210" customFormat="1" hidden="1" x14ac:dyDescent="0.25">
      <c r="A1159" s="310"/>
      <c r="B1159" s="310"/>
      <c r="C1159" s="310"/>
      <c r="D1159" s="310"/>
      <c r="E1159" s="310">
        <v>70</v>
      </c>
      <c r="F1159" s="310"/>
      <c r="G1159" s="116">
        <f>G965</f>
        <v>235</v>
      </c>
      <c r="H1159" s="116">
        <f>H965</f>
        <v>204</v>
      </c>
    </row>
    <row r="1160" spans="1:8" hidden="1" x14ac:dyDescent="0.25">
      <c r="G1160" s="212">
        <f>SUM(G1140:G1159)</f>
        <v>505529.53200000001</v>
      </c>
      <c r="H1160" s="212">
        <f>SUM(H1140:H1159)</f>
        <v>480267.02000000008</v>
      </c>
    </row>
    <row r="1161" spans="1:8" hidden="1" x14ac:dyDescent="0.25"/>
  </sheetData>
  <mergeCells count="5">
    <mergeCell ref="A4:F4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3"/>
  <sheetViews>
    <sheetView view="pageBreakPreview" topLeftCell="A1023" zoomScaleNormal="100" zoomScaleSheetLayoutView="100" workbookViewId="0">
      <selection activeCell="E2" sqref="E2"/>
    </sheetView>
  </sheetViews>
  <sheetFormatPr defaultRowHeight="15" x14ac:dyDescent="0.25"/>
  <cols>
    <col min="1" max="1" width="56.28515625" style="1" customWidth="1"/>
    <col min="2" max="2" width="15.28515625" style="1" customWidth="1"/>
    <col min="3" max="3" width="4.85546875" style="1" customWidth="1"/>
    <col min="4" max="4" width="7.28515625" customWidth="1"/>
    <col min="5" max="5" width="8.7109375" customWidth="1"/>
    <col min="6" max="6" width="7.42578125" style="1" customWidth="1"/>
    <col min="7" max="7" width="11.42578125" style="211" customWidth="1"/>
    <col min="8" max="8" width="10.85546875" style="310" customWidth="1"/>
    <col min="9" max="9" width="11.42578125" style="310" customWidth="1"/>
  </cols>
  <sheetData>
    <row r="1" spans="1:9" ht="15.75" x14ac:dyDescent="0.25">
      <c r="A1" s="211"/>
      <c r="B1" s="211"/>
      <c r="C1" s="211"/>
      <c r="D1" s="211"/>
      <c r="E1" s="211"/>
      <c r="G1" s="370"/>
      <c r="H1" s="441" t="s">
        <v>123</v>
      </c>
      <c r="I1" s="441"/>
    </row>
    <row r="2" spans="1:9" ht="15.75" x14ac:dyDescent="0.25">
      <c r="A2" s="211"/>
      <c r="B2" s="211"/>
      <c r="C2" s="211"/>
      <c r="D2" s="211"/>
      <c r="E2" s="211"/>
      <c r="G2" s="370"/>
      <c r="H2" s="441" t="s">
        <v>606</v>
      </c>
      <c r="I2" s="441"/>
    </row>
    <row r="3" spans="1:9" ht="15.75" x14ac:dyDescent="0.25">
      <c r="A3" s="211"/>
      <c r="B3" s="211"/>
      <c r="C3" s="211"/>
      <c r="D3" s="211"/>
      <c r="E3" s="211"/>
      <c r="F3" s="131" t="s">
        <v>1679</v>
      </c>
      <c r="G3" s="131"/>
      <c r="H3" s="131"/>
      <c r="I3" s="131"/>
    </row>
    <row r="4" spans="1:9" s="210" customFormat="1" ht="15.75" x14ac:dyDescent="0.25">
      <c r="A4" s="211"/>
      <c r="B4" s="211"/>
      <c r="C4" s="211"/>
      <c r="D4" s="211"/>
      <c r="E4" s="211"/>
      <c r="F4" s="62"/>
      <c r="G4" s="130"/>
      <c r="H4" s="130"/>
      <c r="I4" s="130"/>
    </row>
    <row r="5" spans="1:9" ht="38.25" customHeight="1" x14ac:dyDescent="0.25">
      <c r="A5" s="436" t="s">
        <v>1620</v>
      </c>
      <c r="B5" s="436"/>
      <c r="C5" s="436"/>
      <c r="D5" s="436"/>
      <c r="E5" s="436"/>
      <c r="F5" s="436"/>
      <c r="G5" s="436"/>
      <c r="H5" s="436"/>
      <c r="I5" s="436"/>
    </row>
    <row r="6" spans="1:9" ht="16.5" x14ac:dyDescent="0.25">
      <c r="A6" s="251"/>
      <c r="B6" s="251"/>
      <c r="C6" s="251"/>
      <c r="D6" s="251"/>
      <c r="E6" s="251"/>
      <c r="F6" s="251"/>
    </row>
    <row r="7" spans="1:9" ht="15.75" x14ac:dyDescent="0.25">
      <c r="A7" s="62"/>
      <c r="B7" s="62"/>
      <c r="C7" s="62"/>
      <c r="D7" s="62"/>
      <c r="E7" s="64"/>
      <c r="F7" s="64"/>
      <c r="G7" s="195"/>
      <c r="H7" s="195"/>
      <c r="I7" s="195"/>
    </row>
    <row r="8" spans="1:9" ht="60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357" t="s">
        <v>1606</v>
      </c>
      <c r="H8" s="357" t="s">
        <v>1607</v>
      </c>
      <c r="I8" s="357" t="s">
        <v>1608</v>
      </c>
    </row>
    <row r="9" spans="1:9" ht="47.25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3803.7000000000003</v>
      </c>
      <c r="H9" s="4">
        <f t="shared" ref="H9" si="0">H10+H17</f>
        <v>3730.5</v>
      </c>
      <c r="I9" s="4">
        <f>H9/G9*100</f>
        <v>98.075558009306718</v>
      </c>
    </row>
    <row r="10" spans="1:9" s="210" customFormat="1" ht="31.5" hidden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337">
        <f t="shared" ref="H10:I10" si="1">H13</f>
        <v>0</v>
      </c>
      <c r="I10" s="337" t="e">
        <f t="shared" si="1"/>
        <v>#DIV/0!</v>
      </c>
    </row>
    <row r="11" spans="1:9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I14" si="2">G12</f>
        <v>0</v>
      </c>
      <c r="H11" s="337">
        <f t="shared" si="2"/>
        <v>0</v>
      </c>
      <c r="I11" s="337" t="e">
        <f t="shared" si="2"/>
        <v>#DIV/0!</v>
      </c>
    </row>
    <row r="12" spans="1:9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>G13</f>
        <v>0</v>
      </c>
      <c r="H12" s="337">
        <f t="shared" si="2"/>
        <v>0</v>
      </c>
      <c r="I12" s="337" t="e">
        <f t="shared" si="2"/>
        <v>#DIV/0!</v>
      </c>
    </row>
    <row r="13" spans="1:9" s="210" customFormat="1" ht="15.7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337">
        <f t="shared" si="2"/>
        <v>0</v>
      </c>
      <c r="I13" s="337" t="e">
        <f t="shared" si="2"/>
        <v>#DIV/0!</v>
      </c>
    </row>
    <row r="14" spans="1:9" s="210" customFormat="1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337">
        <f t="shared" si="2"/>
        <v>0</v>
      </c>
      <c r="I14" s="337" t="e">
        <f t="shared" si="2"/>
        <v>#DIV/0!</v>
      </c>
    </row>
    <row r="15" spans="1:9" s="210" customFormat="1" ht="31.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'Пр.4 ведом.20'!G993</f>
        <v>0</v>
      </c>
      <c r="H15" s="337">
        <f>'Пр.4 ведом.20'!H993</f>
        <v>0</v>
      </c>
      <c r="I15" s="337" t="e">
        <f>'Пр.4 ведом.20'!I993</f>
        <v>#DIV/0!</v>
      </c>
    </row>
    <row r="16" spans="1:9" s="210" customFormat="1" ht="31.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337">
        <f t="shared" ref="H16:I16" si="3">H15</f>
        <v>0</v>
      </c>
      <c r="I16" s="337" t="e">
        <f t="shared" si="3"/>
        <v>#DIV/0!</v>
      </c>
    </row>
    <row r="17" spans="1:9" s="210" customFormat="1" ht="31.5" x14ac:dyDescent="0.25">
      <c r="A17" s="34" t="s">
        <v>1235</v>
      </c>
      <c r="B17" s="24" t="s">
        <v>1093</v>
      </c>
      <c r="C17" s="40"/>
      <c r="D17" s="40"/>
      <c r="E17" s="40"/>
      <c r="F17" s="40"/>
      <c r="G17" s="6">
        <f>G18</f>
        <v>3803.7000000000003</v>
      </c>
      <c r="H17" s="337">
        <f t="shared" ref="H17:H19" si="4">H18</f>
        <v>3730.5</v>
      </c>
      <c r="I17" s="337">
        <f t="shared" ref="I17:I80" si="5">H17/G17*100</f>
        <v>98.075558009306718</v>
      </c>
    </row>
    <row r="18" spans="1:9" s="210" customFormat="1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>G19</f>
        <v>3803.7000000000003</v>
      </c>
      <c r="H18" s="337">
        <f t="shared" si="4"/>
        <v>3730.5</v>
      </c>
      <c r="I18" s="337">
        <f t="shared" si="5"/>
        <v>98.075558009306718</v>
      </c>
    </row>
    <row r="19" spans="1:9" s="210" customFormat="1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>G20</f>
        <v>3803.7000000000003</v>
      </c>
      <c r="H19" s="337">
        <f t="shared" si="4"/>
        <v>3730.5</v>
      </c>
      <c r="I19" s="337">
        <f t="shared" si="5"/>
        <v>98.075558009306718</v>
      </c>
    </row>
    <row r="20" spans="1:9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G23+G26+G22</f>
        <v>3803.7000000000003</v>
      </c>
      <c r="H20" s="337">
        <f t="shared" ref="H20" si="6">H23+H26+H22</f>
        <v>3730.5</v>
      </c>
      <c r="I20" s="337">
        <f t="shared" si="5"/>
        <v>98.075558009306718</v>
      </c>
    </row>
    <row r="21" spans="1:9" s="210" customFormat="1" ht="78.75" x14ac:dyDescent="0.25">
      <c r="A21" s="25" t="s">
        <v>142</v>
      </c>
      <c r="B21" s="40" t="s">
        <v>1151</v>
      </c>
      <c r="C21" s="40" t="s">
        <v>165</v>
      </c>
      <c r="D21" s="40" t="s">
        <v>234</v>
      </c>
      <c r="E21" s="40" t="s">
        <v>143</v>
      </c>
      <c r="F21" s="40"/>
      <c r="G21" s="6">
        <f>G22</f>
        <v>2275.8000000000002</v>
      </c>
      <c r="H21" s="337">
        <f t="shared" ref="H21" si="7">H22</f>
        <v>2257.3200000000002</v>
      </c>
      <c r="I21" s="337">
        <f t="shared" si="5"/>
        <v>99.187977853941462</v>
      </c>
    </row>
    <row r="22" spans="1:9" s="210" customFormat="1" ht="15.75" x14ac:dyDescent="0.25">
      <c r="A22" s="25" t="s">
        <v>357</v>
      </c>
      <c r="B22" s="40" t="s">
        <v>1151</v>
      </c>
      <c r="C22" s="40" t="s">
        <v>165</v>
      </c>
      <c r="D22" s="40" t="s">
        <v>234</v>
      </c>
      <c r="E22" s="40" t="s">
        <v>224</v>
      </c>
      <c r="F22" s="40"/>
      <c r="G22" s="6">
        <f>'Пр.4 ведом.20'!G997</f>
        <v>2275.8000000000002</v>
      </c>
      <c r="H22" s="337">
        <f>'Пр.4 ведом.20'!H997</f>
        <v>2257.3200000000002</v>
      </c>
      <c r="I22" s="337">
        <f t="shared" si="5"/>
        <v>99.187977853941462</v>
      </c>
    </row>
    <row r="23" spans="1:9" ht="31.5" x14ac:dyDescent="0.25">
      <c r="A23" s="29" t="s">
        <v>146</v>
      </c>
      <c r="B23" s="40" t="s">
        <v>1151</v>
      </c>
      <c r="C23" s="40" t="s">
        <v>165</v>
      </c>
      <c r="D23" s="40" t="s">
        <v>234</v>
      </c>
      <c r="E23" s="40" t="s">
        <v>147</v>
      </c>
      <c r="F23" s="40"/>
      <c r="G23" s="6">
        <f t="shared" ref="G23:H23" si="8">G24</f>
        <v>1527.9</v>
      </c>
      <c r="H23" s="337">
        <f t="shared" si="8"/>
        <v>1473.18</v>
      </c>
      <c r="I23" s="337">
        <f t="shared" si="5"/>
        <v>96.418613783624579</v>
      </c>
    </row>
    <row r="24" spans="1:9" ht="31.5" x14ac:dyDescent="0.25">
      <c r="A24" s="29" t="s">
        <v>148</v>
      </c>
      <c r="B24" s="40" t="s">
        <v>1151</v>
      </c>
      <c r="C24" s="40" t="s">
        <v>165</v>
      </c>
      <c r="D24" s="40" t="s">
        <v>234</v>
      </c>
      <c r="E24" s="40" t="s">
        <v>149</v>
      </c>
      <c r="F24" s="40"/>
      <c r="G24" s="6">
        <f>'Пр.4 ведом.20'!G999</f>
        <v>1527.9</v>
      </c>
      <c r="H24" s="337">
        <f>'Пр.4 ведом.20'!H999</f>
        <v>1473.18</v>
      </c>
      <c r="I24" s="337">
        <f t="shared" si="5"/>
        <v>96.418613783624579</v>
      </c>
    </row>
    <row r="25" spans="1:9" s="210" customFormat="1" ht="31.5" x14ac:dyDescent="0.25">
      <c r="A25" s="45" t="s">
        <v>638</v>
      </c>
      <c r="B25" s="40" t="s">
        <v>1151</v>
      </c>
      <c r="C25" s="40" t="s">
        <v>165</v>
      </c>
      <c r="D25" s="40" t="s">
        <v>234</v>
      </c>
      <c r="E25" s="40" t="s">
        <v>149</v>
      </c>
      <c r="F25" s="40" t="s">
        <v>639</v>
      </c>
      <c r="G25" s="6">
        <f>G24</f>
        <v>1527.9</v>
      </c>
      <c r="H25" s="337">
        <f t="shared" ref="H25" si="9">H24</f>
        <v>1473.18</v>
      </c>
      <c r="I25" s="337">
        <f t="shared" si="5"/>
        <v>96.418613783624579</v>
      </c>
    </row>
    <row r="26" spans="1:9" ht="15.75" hidden="1" x14ac:dyDescent="0.25">
      <c r="A26" s="25" t="s">
        <v>150</v>
      </c>
      <c r="B26" s="40" t="s">
        <v>1151</v>
      </c>
      <c r="C26" s="40" t="s">
        <v>165</v>
      </c>
      <c r="D26" s="40" t="s">
        <v>234</v>
      </c>
      <c r="E26" s="40" t="s">
        <v>160</v>
      </c>
      <c r="F26" s="40"/>
      <c r="G26" s="6">
        <f t="shared" ref="G26:H26" si="10">G27</f>
        <v>0</v>
      </c>
      <c r="H26" s="337">
        <f t="shared" si="10"/>
        <v>0</v>
      </c>
      <c r="I26" s="337" t="e">
        <f t="shared" si="5"/>
        <v>#DIV/0!</v>
      </c>
    </row>
    <row r="27" spans="1:9" ht="15.75" hidden="1" x14ac:dyDescent="0.25">
      <c r="A27" s="25" t="s">
        <v>152</v>
      </c>
      <c r="B27" s="40" t="s">
        <v>1151</v>
      </c>
      <c r="C27" s="40" t="s">
        <v>165</v>
      </c>
      <c r="D27" s="40" t="s">
        <v>234</v>
      </c>
      <c r="E27" s="40" t="s">
        <v>153</v>
      </c>
      <c r="F27" s="40"/>
      <c r="G27" s="6">
        <f>'Пр.4 ведом.20'!G1001</f>
        <v>0</v>
      </c>
      <c r="H27" s="337">
        <f>'Пр.4 ведом.20'!H1001</f>
        <v>0</v>
      </c>
      <c r="I27" s="337" t="e">
        <f t="shared" si="5"/>
        <v>#DIV/0!</v>
      </c>
    </row>
    <row r="28" spans="1:9" ht="31.5" hidden="1" x14ac:dyDescent="0.25">
      <c r="A28" s="45" t="s">
        <v>638</v>
      </c>
      <c r="B28" s="40" t="s">
        <v>1151</v>
      </c>
      <c r="C28" s="40" t="s">
        <v>165</v>
      </c>
      <c r="D28" s="40" t="s">
        <v>234</v>
      </c>
      <c r="E28" s="40" t="s">
        <v>153</v>
      </c>
      <c r="F28" s="40" t="s">
        <v>639</v>
      </c>
      <c r="G28" s="6">
        <f>G27</f>
        <v>0</v>
      </c>
      <c r="H28" s="337">
        <f t="shared" ref="H28" si="11">H27</f>
        <v>0</v>
      </c>
      <c r="I28" s="337" t="e">
        <f t="shared" si="5"/>
        <v>#DIV/0!</v>
      </c>
    </row>
    <row r="29" spans="1:9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2088.6</v>
      </c>
      <c r="H29" s="325">
        <f t="shared" ref="H29" si="12">H30+H59+H67+H75+H93+H101+H109+H150</f>
        <v>2088.1040000000003</v>
      </c>
      <c r="I29" s="4">
        <f t="shared" si="5"/>
        <v>99.976252034855904</v>
      </c>
    </row>
    <row r="30" spans="1:9" ht="31.5" x14ac:dyDescent="0.25">
      <c r="A30" s="58" t="s">
        <v>640</v>
      </c>
      <c r="B30" s="7" t="s">
        <v>361</v>
      </c>
      <c r="C30" s="7"/>
      <c r="D30" s="7"/>
      <c r="E30" s="7"/>
      <c r="F30" s="7"/>
      <c r="G30" s="59">
        <f>G32+G42+G52</f>
        <v>380.8</v>
      </c>
      <c r="H30" s="325">
        <f t="shared" ref="H30" si="13">H32+H42+H52</f>
        <v>380.66899999999998</v>
      </c>
      <c r="I30" s="4">
        <f t="shared" si="5"/>
        <v>99.965598739495789</v>
      </c>
    </row>
    <row r="31" spans="1:9" s="210" customFormat="1" ht="47.25" hidden="1" x14ac:dyDescent="0.25">
      <c r="A31" s="216" t="s">
        <v>1194</v>
      </c>
      <c r="B31" s="24" t="s">
        <v>950</v>
      </c>
      <c r="C31" s="7"/>
      <c r="D31" s="7"/>
      <c r="E31" s="40"/>
      <c r="F31" s="40"/>
      <c r="G31" s="59">
        <f>G32</f>
        <v>0</v>
      </c>
      <c r="H31" s="325">
        <f t="shared" ref="H31" si="14">H32</f>
        <v>0</v>
      </c>
      <c r="I31" s="337" t="e">
        <f t="shared" si="5"/>
        <v>#DIV/0!</v>
      </c>
    </row>
    <row r="32" spans="1:9" ht="15.75" hidden="1" x14ac:dyDescent="0.25">
      <c r="A32" s="45" t="s">
        <v>278</v>
      </c>
      <c r="B32" s="40" t="s">
        <v>950</v>
      </c>
      <c r="C32" s="40" t="s">
        <v>279</v>
      </c>
      <c r="D32" s="40"/>
      <c r="E32" s="40"/>
      <c r="F32" s="40"/>
      <c r="G32" s="10">
        <f t="shared" ref="G32:H32" si="15">G33</f>
        <v>0</v>
      </c>
      <c r="H32" s="313">
        <f t="shared" si="15"/>
        <v>0</v>
      </c>
      <c r="I32" s="337" t="e">
        <f t="shared" si="5"/>
        <v>#DIV/0!</v>
      </c>
    </row>
    <row r="33" spans="1:9" ht="15.75" hidden="1" x14ac:dyDescent="0.25">
      <c r="A33" s="45" t="s">
        <v>481</v>
      </c>
      <c r="B33" s="40" t="s">
        <v>950</v>
      </c>
      <c r="C33" s="40" t="s">
        <v>279</v>
      </c>
      <c r="D33" s="40" t="s">
        <v>279</v>
      </c>
      <c r="E33" s="40"/>
      <c r="F33" s="40"/>
      <c r="G33" s="10">
        <f>G34+G38</f>
        <v>0</v>
      </c>
      <c r="H33" s="313">
        <f t="shared" ref="H33" si="16">H34+H38</f>
        <v>0</v>
      </c>
      <c r="I33" s="337" t="e">
        <f t="shared" si="5"/>
        <v>#DIV/0!</v>
      </c>
    </row>
    <row r="34" spans="1:9" s="210" customFormat="1" ht="31.5" hidden="1" x14ac:dyDescent="0.25">
      <c r="A34" s="99" t="s">
        <v>1200</v>
      </c>
      <c r="B34" s="20" t="s">
        <v>951</v>
      </c>
      <c r="C34" s="40" t="s">
        <v>279</v>
      </c>
      <c r="D34" s="40" t="s">
        <v>279</v>
      </c>
      <c r="E34" s="40"/>
      <c r="F34" s="40"/>
      <c r="G34" s="10">
        <f>G35</f>
        <v>0</v>
      </c>
      <c r="H34" s="313">
        <f t="shared" ref="H34:H35" si="17">H35</f>
        <v>0</v>
      </c>
      <c r="I34" s="337" t="e">
        <f t="shared" si="5"/>
        <v>#DIV/0!</v>
      </c>
    </row>
    <row r="35" spans="1:9" s="210" customFormat="1" ht="78.75" hidden="1" x14ac:dyDescent="0.25">
      <c r="A35" s="25" t="s">
        <v>142</v>
      </c>
      <c r="B35" s="20" t="s">
        <v>951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0</v>
      </c>
      <c r="H35" s="313">
        <f t="shared" si="17"/>
        <v>0</v>
      </c>
      <c r="I35" s="337" t="e">
        <f t="shared" si="5"/>
        <v>#DIV/0!</v>
      </c>
    </row>
    <row r="36" spans="1:9" s="210" customFormat="1" ht="15.75" hidden="1" x14ac:dyDescent="0.25">
      <c r="A36" s="25" t="s">
        <v>357</v>
      </c>
      <c r="B36" s="20" t="s">
        <v>951</v>
      </c>
      <c r="C36" s="40" t="s">
        <v>279</v>
      </c>
      <c r="D36" s="40" t="s">
        <v>279</v>
      </c>
      <c r="E36" s="40" t="s">
        <v>224</v>
      </c>
      <c r="F36" s="40"/>
      <c r="G36" s="10">
        <f>'Пр.3 Рд,пр, ЦС,ВР 20'!F800</f>
        <v>0</v>
      </c>
      <c r="H36" s="313">
        <f>'Пр.3 Рд,пр, ЦС,ВР 20'!G800</f>
        <v>0</v>
      </c>
      <c r="I36" s="337" t="e">
        <f t="shared" si="5"/>
        <v>#DIV/0!</v>
      </c>
    </row>
    <row r="37" spans="1:9" s="210" customFormat="1" ht="47.25" hidden="1" x14ac:dyDescent="0.25">
      <c r="A37" s="45" t="s">
        <v>276</v>
      </c>
      <c r="B37" s="20" t="s">
        <v>951</v>
      </c>
      <c r="C37" s="40" t="s">
        <v>279</v>
      </c>
      <c r="D37" s="40" t="s">
        <v>279</v>
      </c>
      <c r="E37" s="40" t="s">
        <v>224</v>
      </c>
      <c r="F37" s="40" t="s">
        <v>642</v>
      </c>
      <c r="G37" s="6">
        <f>G36</f>
        <v>0</v>
      </c>
      <c r="H37" s="337">
        <f t="shared" ref="H37" si="18">H36</f>
        <v>0</v>
      </c>
      <c r="I37" s="337" t="e">
        <f t="shared" si="5"/>
        <v>#DIV/0!</v>
      </c>
    </row>
    <row r="38" spans="1:9" s="210" customFormat="1" ht="15.75" hidden="1" x14ac:dyDescent="0.25">
      <c r="A38" s="25" t="s">
        <v>1195</v>
      </c>
      <c r="B38" s="20" t="s">
        <v>1219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313">
        <f t="shared" ref="H38:H39" si="19">H39</f>
        <v>0</v>
      </c>
      <c r="I38" s="337" t="e">
        <f t="shared" si="5"/>
        <v>#DIV/0!</v>
      </c>
    </row>
    <row r="39" spans="1:9" s="210" customFormat="1" ht="31.5" hidden="1" x14ac:dyDescent="0.25">
      <c r="A39" s="25" t="s">
        <v>146</v>
      </c>
      <c r="B39" s="20" t="s">
        <v>1219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313">
        <f t="shared" si="19"/>
        <v>0</v>
      </c>
      <c r="I39" s="337" t="e">
        <f t="shared" si="5"/>
        <v>#DIV/0!</v>
      </c>
    </row>
    <row r="40" spans="1:9" s="210" customFormat="1" ht="31.5" hidden="1" x14ac:dyDescent="0.25">
      <c r="A40" s="25" t="s">
        <v>148</v>
      </c>
      <c r="B40" s="20" t="s">
        <v>1219</v>
      </c>
      <c r="C40" s="40" t="s">
        <v>279</v>
      </c>
      <c r="D40" s="40" t="s">
        <v>279</v>
      </c>
      <c r="E40" s="40" t="s">
        <v>149</v>
      </c>
      <c r="F40" s="40"/>
      <c r="G40" s="10">
        <f>'Пр.3 Рд,пр, ЦС,ВР 20'!F803</f>
        <v>0</v>
      </c>
      <c r="H40" s="313">
        <f>'Пр.3 Рд,пр, ЦС,ВР 20'!G803</f>
        <v>0</v>
      </c>
      <c r="I40" s="337" t="e">
        <f t="shared" si="5"/>
        <v>#DIV/0!</v>
      </c>
    </row>
    <row r="41" spans="1:9" s="210" customFormat="1" ht="47.25" hidden="1" x14ac:dyDescent="0.25">
      <c r="A41" s="45" t="s">
        <v>276</v>
      </c>
      <c r="B41" s="20" t="s">
        <v>1219</v>
      </c>
      <c r="C41" s="40" t="s">
        <v>279</v>
      </c>
      <c r="D41" s="40" t="s">
        <v>279</v>
      </c>
      <c r="E41" s="40" t="s">
        <v>149</v>
      </c>
      <c r="F41" s="40" t="s">
        <v>642</v>
      </c>
      <c r="G41" s="6">
        <f>G40</f>
        <v>0</v>
      </c>
      <c r="H41" s="337">
        <f t="shared" ref="H41" si="20">H40</f>
        <v>0</v>
      </c>
      <c r="I41" s="337" t="e">
        <f t="shared" si="5"/>
        <v>#DIV/0!</v>
      </c>
    </row>
    <row r="42" spans="1:9" s="210" customFormat="1" ht="63" x14ac:dyDescent="0.25">
      <c r="A42" s="23" t="s">
        <v>1196</v>
      </c>
      <c r="B42" s="24" t="s">
        <v>952</v>
      </c>
      <c r="C42" s="40"/>
      <c r="D42" s="40"/>
      <c r="E42" s="40"/>
      <c r="F42" s="40"/>
      <c r="G42" s="59">
        <f>G43</f>
        <v>355.8</v>
      </c>
      <c r="H42" s="325">
        <f t="shared" ref="H42:H44" si="21">H43</f>
        <v>355.66899999999998</v>
      </c>
      <c r="I42" s="4">
        <f t="shared" si="5"/>
        <v>99.963181562675658</v>
      </c>
    </row>
    <row r="43" spans="1:9" s="210" customFormat="1" ht="15.75" x14ac:dyDescent="0.25">
      <c r="A43" s="45" t="s">
        <v>278</v>
      </c>
      <c r="B43" s="40" t="s">
        <v>952</v>
      </c>
      <c r="C43" s="40" t="s">
        <v>279</v>
      </c>
      <c r="D43" s="40"/>
      <c r="E43" s="40"/>
      <c r="F43" s="40"/>
      <c r="G43" s="10">
        <f>G44</f>
        <v>355.8</v>
      </c>
      <c r="H43" s="313">
        <f t="shared" si="21"/>
        <v>355.66899999999998</v>
      </c>
      <c r="I43" s="337">
        <f t="shared" si="5"/>
        <v>99.963181562675658</v>
      </c>
    </row>
    <row r="44" spans="1:9" s="210" customFormat="1" ht="15.75" x14ac:dyDescent="0.25">
      <c r="A44" s="45" t="s">
        <v>481</v>
      </c>
      <c r="B44" s="40" t="s">
        <v>952</v>
      </c>
      <c r="C44" s="40" t="s">
        <v>279</v>
      </c>
      <c r="D44" s="40" t="s">
        <v>279</v>
      </c>
      <c r="E44" s="40"/>
      <c r="F44" s="40"/>
      <c r="G44" s="10">
        <f>G45</f>
        <v>355.8</v>
      </c>
      <c r="H44" s="313">
        <f t="shared" si="21"/>
        <v>355.66899999999998</v>
      </c>
      <c r="I44" s="337">
        <f t="shared" si="5"/>
        <v>99.963181562675658</v>
      </c>
    </row>
    <row r="45" spans="1:9" ht="15.75" x14ac:dyDescent="0.25">
      <c r="A45" s="25" t="s">
        <v>1197</v>
      </c>
      <c r="B45" s="20" t="s">
        <v>970</v>
      </c>
      <c r="C45" s="40" t="s">
        <v>279</v>
      </c>
      <c r="D45" s="40" t="s">
        <v>279</v>
      </c>
      <c r="E45" s="40"/>
      <c r="F45" s="40"/>
      <c r="G45" s="10">
        <f>G49</f>
        <v>355.8</v>
      </c>
      <c r="H45" s="313">
        <f t="shared" ref="H45" si="22">H49</f>
        <v>355.66899999999998</v>
      </c>
      <c r="I45" s="337">
        <f t="shared" si="5"/>
        <v>99.963181562675658</v>
      </c>
    </row>
    <row r="46" spans="1:9" ht="78.75" hidden="1" x14ac:dyDescent="0.25">
      <c r="A46" s="25" t="s">
        <v>142</v>
      </c>
      <c r="B46" s="20" t="s">
        <v>970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:H46" si="23">G47</f>
        <v>0</v>
      </c>
      <c r="H46" s="313">
        <f t="shared" si="23"/>
        <v>0</v>
      </c>
      <c r="I46" s="337" t="e">
        <f t="shared" si="5"/>
        <v>#DIV/0!</v>
      </c>
    </row>
    <row r="47" spans="1:9" ht="15.75" hidden="1" x14ac:dyDescent="0.25">
      <c r="A47" s="25" t="s">
        <v>357</v>
      </c>
      <c r="B47" s="20" t="s">
        <v>970</v>
      </c>
      <c r="C47" s="40" t="s">
        <v>279</v>
      </c>
      <c r="D47" s="40" t="s">
        <v>279</v>
      </c>
      <c r="E47" s="40" t="s">
        <v>224</v>
      </c>
      <c r="F47" s="40"/>
      <c r="G47" s="10">
        <f>'Пр.3 Рд,пр, ЦС,ВР 20'!F807</f>
        <v>0</v>
      </c>
      <c r="H47" s="313">
        <f>'Пр.3 Рд,пр, ЦС,ВР 20'!G807</f>
        <v>0</v>
      </c>
      <c r="I47" s="337" t="e">
        <f t="shared" si="5"/>
        <v>#DIV/0!</v>
      </c>
    </row>
    <row r="48" spans="1:9" s="210" customFormat="1" ht="47.25" hidden="1" x14ac:dyDescent="0.25">
      <c r="A48" s="45" t="s">
        <v>276</v>
      </c>
      <c r="B48" s="20" t="s">
        <v>970</v>
      </c>
      <c r="C48" s="40" t="s">
        <v>279</v>
      </c>
      <c r="D48" s="40" t="s">
        <v>279</v>
      </c>
      <c r="E48" s="40" t="s">
        <v>224</v>
      </c>
      <c r="F48" s="40" t="s">
        <v>642</v>
      </c>
      <c r="G48" s="6">
        <f>G47</f>
        <v>0</v>
      </c>
      <c r="H48" s="337">
        <f t="shared" ref="H48" si="24">H47</f>
        <v>0</v>
      </c>
      <c r="I48" s="337" t="e">
        <f t="shared" si="5"/>
        <v>#DIV/0!</v>
      </c>
    </row>
    <row r="49" spans="1:9" ht="31.5" x14ac:dyDescent="0.25">
      <c r="A49" s="25" t="s">
        <v>146</v>
      </c>
      <c r="B49" s="20" t="s">
        <v>970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:H49" si="25">G50</f>
        <v>355.8</v>
      </c>
      <c r="H49" s="313">
        <f t="shared" si="25"/>
        <v>355.66899999999998</v>
      </c>
      <c r="I49" s="337">
        <f t="shared" si="5"/>
        <v>99.963181562675658</v>
      </c>
    </row>
    <row r="50" spans="1:9" ht="31.5" x14ac:dyDescent="0.25">
      <c r="A50" s="25" t="s">
        <v>148</v>
      </c>
      <c r="B50" s="20" t="s">
        <v>970</v>
      </c>
      <c r="C50" s="40" t="s">
        <v>279</v>
      </c>
      <c r="D50" s="40" t="s">
        <v>279</v>
      </c>
      <c r="E50" s="40" t="s">
        <v>149</v>
      </c>
      <c r="F50" s="40"/>
      <c r="G50" s="6">
        <f>'Пр.3 Рд,пр, ЦС,ВР 20'!F809</f>
        <v>355.8</v>
      </c>
      <c r="H50" s="337">
        <f>'Пр.3 Рд,пр, ЦС,ВР 20'!G809</f>
        <v>355.66899999999998</v>
      </c>
      <c r="I50" s="337">
        <f t="shared" si="5"/>
        <v>99.963181562675658</v>
      </c>
    </row>
    <row r="51" spans="1:9" s="210" customFormat="1" ht="47.25" x14ac:dyDescent="0.25">
      <c r="A51" s="45" t="s">
        <v>276</v>
      </c>
      <c r="B51" s="20" t="s">
        <v>970</v>
      </c>
      <c r="C51" s="40" t="s">
        <v>279</v>
      </c>
      <c r="D51" s="40" t="s">
        <v>279</v>
      </c>
      <c r="E51" s="40" t="s">
        <v>149</v>
      </c>
      <c r="F51" s="40" t="s">
        <v>642</v>
      </c>
      <c r="G51" s="6">
        <f>G50</f>
        <v>355.8</v>
      </c>
      <c r="H51" s="337">
        <f t="shared" ref="H51" si="26">H50</f>
        <v>355.66899999999998</v>
      </c>
      <c r="I51" s="337">
        <f t="shared" si="5"/>
        <v>99.963181562675658</v>
      </c>
    </row>
    <row r="52" spans="1:9" ht="33" customHeight="1" x14ac:dyDescent="0.25">
      <c r="A52" s="23" t="s">
        <v>1202</v>
      </c>
      <c r="B52" s="24" t="s">
        <v>1198</v>
      </c>
      <c r="C52" s="40"/>
      <c r="D52" s="40"/>
      <c r="E52" s="40"/>
      <c r="F52" s="40"/>
      <c r="G52" s="4">
        <f>G55</f>
        <v>25</v>
      </c>
      <c r="H52" s="4">
        <f t="shared" ref="H52" si="27">H55</f>
        <v>25</v>
      </c>
      <c r="I52" s="4">
        <f t="shared" si="5"/>
        <v>100</v>
      </c>
    </row>
    <row r="53" spans="1:9" s="210" customFormat="1" ht="16.5" customHeight="1" x14ac:dyDescent="0.25">
      <c r="A53" s="45" t="s">
        <v>278</v>
      </c>
      <c r="B53" s="40" t="s">
        <v>1198</v>
      </c>
      <c r="C53" s="40" t="s">
        <v>279</v>
      </c>
      <c r="D53" s="40"/>
      <c r="E53" s="40"/>
      <c r="F53" s="40"/>
      <c r="G53" s="10">
        <f>G54</f>
        <v>25</v>
      </c>
      <c r="H53" s="313">
        <f t="shared" ref="H53:H54" si="28">H54</f>
        <v>25</v>
      </c>
      <c r="I53" s="337">
        <f t="shared" si="5"/>
        <v>100</v>
      </c>
    </row>
    <row r="54" spans="1:9" s="210" customFormat="1" ht="18.75" customHeight="1" x14ac:dyDescent="0.25">
      <c r="A54" s="45" t="s">
        <v>481</v>
      </c>
      <c r="B54" s="40" t="s">
        <v>1198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313">
        <f t="shared" si="28"/>
        <v>25</v>
      </c>
      <c r="I54" s="337">
        <f t="shared" si="5"/>
        <v>100</v>
      </c>
    </row>
    <row r="55" spans="1:9" ht="47.25" x14ac:dyDescent="0.25">
      <c r="A55" s="239" t="s">
        <v>1199</v>
      </c>
      <c r="B55" s="20" t="s">
        <v>1220</v>
      </c>
      <c r="C55" s="40" t="s">
        <v>279</v>
      </c>
      <c r="D55" s="40" t="s">
        <v>279</v>
      </c>
      <c r="E55" s="20"/>
      <c r="F55" s="40"/>
      <c r="G55" s="6">
        <f t="shared" ref="G55:H56" si="29">G56</f>
        <v>25</v>
      </c>
      <c r="H55" s="337">
        <f t="shared" si="29"/>
        <v>25</v>
      </c>
      <c r="I55" s="337">
        <f t="shared" si="5"/>
        <v>100</v>
      </c>
    </row>
    <row r="56" spans="1:9" ht="15.75" x14ac:dyDescent="0.25">
      <c r="A56" s="25" t="s">
        <v>263</v>
      </c>
      <c r="B56" s="20" t="s">
        <v>1220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  <c r="H56" s="337">
        <f t="shared" si="29"/>
        <v>25</v>
      </c>
      <c r="I56" s="337">
        <f t="shared" si="5"/>
        <v>100</v>
      </c>
    </row>
    <row r="57" spans="1:9" ht="32.25" customHeight="1" x14ac:dyDescent="0.25">
      <c r="A57" s="25" t="s">
        <v>1478</v>
      </c>
      <c r="B57" s="20" t="s">
        <v>1220</v>
      </c>
      <c r="C57" s="40" t="s">
        <v>279</v>
      </c>
      <c r="D57" s="40" t="s">
        <v>279</v>
      </c>
      <c r="E57" s="20" t="s">
        <v>1477</v>
      </c>
      <c r="F57" s="40"/>
      <c r="G57" s="10">
        <f>'Пр.3 Рд,пр, ЦС,ВР 20'!F813</f>
        <v>25</v>
      </c>
      <c r="H57" s="313">
        <f>'Пр.3 Рд,пр, ЦС,ВР 20'!G813</f>
        <v>25</v>
      </c>
      <c r="I57" s="337">
        <f t="shared" si="5"/>
        <v>100</v>
      </c>
    </row>
    <row r="58" spans="1:9" s="210" customFormat="1" ht="47.25" x14ac:dyDescent="0.25">
      <c r="A58" s="45" t="s">
        <v>276</v>
      </c>
      <c r="B58" s="20" t="s">
        <v>1220</v>
      </c>
      <c r="C58" s="40" t="s">
        <v>279</v>
      </c>
      <c r="D58" s="40" t="s">
        <v>279</v>
      </c>
      <c r="E58" s="40" t="s">
        <v>1477</v>
      </c>
      <c r="F58" s="40" t="s">
        <v>642</v>
      </c>
      <c r="G58" s="6">
        <f>G57</f>
        <v>25</v>
      </c>
      <c r="H58" s="337">
        <f t="shared" ref="H58" si="30">H57</f>
        <v>25</v>
      </c>
      <c r="I58" s="337">
        <f t="shared" si="5"/>
        <v>100</v>
      </c>
    </row>
    <row r="59" spans="1:9" ht="31.5" x14ac:dyDescent="0.25">
      <c r="A59" s="58" t="s">
        <v>643</v>
      </c>
      <c r="B59" s="7" t="s">
        <v>368</v>
      </c>
      <c r="C59" s="7"/>
      <c r="D59" s="7"/>
      <c r="E59" s="7"/>
      <c r="F59" s="7"/>
      <c r="G59" s="59">
        <f>G60</f>
        <v>169.20000000000002</v>
      </c>
      <c r="H59" s="325">
        <f t="shared" ref="H59:H60" si="31">H60</f>
        <v>169.05</v>
      </c>
      <c r="I59" s="4">
        <f t="shared" si="5"/>
        <v>99.911347517730491</v>
      </c>
    </row>
    <row r="60" spans="1:9" s="210" customFormat="1" ht="31.5" x14ac:dyDescent="0.25">
      <c r="A60" s="23" t="s">
        <v>974</v>
      </c>
      <c r="B60" s="24" t="s">
        <v>973</v>
      </c>
      <c r="C60" s="7"/>
      <c r="D60" s="7"/>
      <c r="E60" s="7"/>
      <c r="F60" s="7"/>
      <c r="G60" s="59">
        <f>G61</f>
        <v>169.20000000000002</v>
      </c>
      <c r="H60" s="325">
        <f t="shared" si="31"/>
        <v>169.05</v>
      </c>
      <c r="I60" s="4">
        <f t="shared" si="5"/>
        <v>99.911347517730491</v>
      </c>
    </row>
    <row r="61" spans="1:9" ht="15.75" x14ac:dyDescent="0.25">
      <c r="A61" s="45" t="s">
        <v>258</v>
      </c>
      <c r="B61" s="40" t="s">
        <v>973</v>
      </c>
      <c r="C61" s="40" t="s">
        <v>259</v>
      </c>
      <c r="D61" s="40"/>
      <c r="E61" s="40"/>
      <c r="F61" s="40"/>
      <c r="G61" s="10">
        <f t="shared" ref="G61:H64" si="32">G62</f>
        <v>169.20000000000002</v>
      </c>
      <c r="H61" s="313">
        <f t="shared" si="32"/>
        <v>169.05</v>
      </c>
      <c r="I61" s="337">
        <f t="shared" si="5"/>
        <v>99.911347517730491</v>
      </c>
    </row>
    <row r="62" spans="1:9" ht="15.75" x14ac:dyDescent="0.25">
      <c r="A62" s="45" t="s">
        <v>267</v>
      </c>
      <c r="B62" s="40" t="s">
        <v>973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  <c r="H62" s="313">
        <f t="shared" si="32"/>
        <v>169.05</v>
      </c>
      <c r="I62" s="337">
        <f t="shared" si="5"/>
        <v>99.911347517730491</v>
      </c>
    </row>
    <row r="63" spans="1:9" ht="31.5" x14ac:dyDescent="0.25">
      <c r="A63" s="25" t="s">
        <v>867</v>
      </c>
      <c r="B63" s="20" t="s">
        <v>975</v>
      </c>
      <c r="C63" s="40" t="s">
        <v>259</v>
      </c>
      <c r="D63" s="40" t="s">
        <v>230</v>
      </c>
      <c r="E63" s="40"/>
      <c r="F63" s="40"/>
      <c r="G63" s="10">
        <f t="shared" si="32"/>
        <v>169.20000000000002</v>
      </c>
      <c r="H63" s="313">
        <f t="shared" si="32"/>
        <v>169.05</v>
      </c>
      <c r="I63" s="337">
        <f t="shared" si="5"/>
        <v>99.911347517730491</v>
      </c>
    </row>
    <row r="64" spans="1:9" ht="15.75" x14ac:dyDescent="0.25">
      <c r="A64" s="29" t="s">
        <v>263</v>
      </c>
      <c r="B64" s="20" t="s">
        <v>975</v>
      </c>
      <c r="C64" s="40" t="s">
        <v>259</v>
      </c>
      <c r="D64" s="40" t="s">
        <v>230</v>
      </c>
      <c r="E64" s="40" t="s">
        <v>264</v>
      </c>
      <c r="F64" s="40"/>
      <c r="G64" s="10">
        <f t="shared" si="32"/>
        <v>169.20000000000002</v>
      </c>
      <c r="H64" s="313">
        <f t="shared" si="32"/>
        <v>169.05</v>
      </c>
      <c r="I64" s="337">
        <f t="shared" si="5"/>
        <v>99.911347517730491</v>
      </c>
    </row>
    <row r="65" spans="1:9" ht="31.5" x14ac:dyDescent="0.25">
      <c r="A65" s="29" t="s">
        <v>265</v>
      </c>
      <c r="B65" s="20" t="s">
        <v>975</v>
      </c>
      <c r="C65" s="40" t="s">
        <v>259</v>
      </c>
      <c r="D65" s="40" t="s">
        <v>230</v>
      </c>
      <c r="E65" s="40" t="s">
        <v>266</v>
      </c>
      <c r="F65" s="40"/>
      <c r="G65" s="10">
        <f>'Пр.4 ведом.20'!G479</f>
        <v>169.20000000000002</v>
      </c>
      <c r="H65" s="313">
        <f>'Пр.4 ведом.20'!H479</f>
        <v>169.05</v>
      </c>
      <c r="I65" s="337">
        <f t="shared" si="5"/>
        <v>99.911347517730491</v>
      </c>
    </row>
    <row r="66" spans="1:9" ht="47.25" x14ac:dyDescent="0.25">
      <c r="A66" s="45" t="s">
        <v>276</v>
      </c>
      <c r="B66" s="20" t="s">
        <v>975</v>
      </c>
      <c r="C66" s="40" t="s">
        <v>259</v>
      </c>
      <c r="D66" s="40" t="s">
        <v>230</v>
      </c>
      <c r="E66" s="40" t="s">
        <v>266</v>
      </c>
      <c r="F66" s="40" t="s">
        <v>642</v>
      </c>
      <c r="G66" s="10">
        <f t="shared" ref="G66:H66" si="33">G59</f>
        <v>169.20000000000002</v>
      </c>
      <c r="H66" s="313">
        <f t="shared" si="33"/>
        <v>169.05</v>
      </c>
      <c r="I66" s="337">
        <f t="shared" si="5"/>
        <v>99.911347517730491</v>
      </c>
    </row>
    <row r="67" spans="1:9" ht="31.5" x14ac:dyDescent="0.25">
      <c r="A67" s="58" t="s">
        <v>644</v>
      </c>
      <c r="B67" s="7" t="s">
        <v>371</v>
      </c>
      <c r="C67" s="7"/>
      <c r="D67" s="7"/>
      <c r="E67" s="7"/>
      <c r="F67" s="7"/>
      <c r="G67" s="59">
        <f t="shared" ref="G67:H67" si="34">G69</f>
        <v>280</v>
      </c>
      <c r="H67" s="325">
        <f t="shared" si="34"/>
        <v>280</v>
      </c>
      <c r="I67" s="4">
        <f t="shared" si="5"/>
        <v>100</v>
      </c>
    </row>
    <row r="68" spans="1:9" s="210" customFormat="1" ht="31.5" x14ac:dyDescent="0.25">
      <c r="A68" s="23" t="s">
        <v>1146</v>
      </c>
      <c r="B68" s="24" t="s">
        <v>976</v>
      </c>
      <c r="C68" s="40"/>
      <c r="D68" s="40"/>
      <c r="E68" s="40"/>
      <c r="F68" s="40"/>
      <c r="G68" s="10">
        <f>G69</f>
        <v>280</v>
      </c>
      <c r="H68" s="313">
        <f t="shared" ref="H68" si="35">H69</f>
        <v>280</v>
      </c>
      <c r="I68" s="337">
        <f t="shared" si="5"/>
        <v>100</v>
      </c>
    </row>
    <row r="69" spans="1:9" ht="15.75" x14ac:dyDescent="0.25">
      <c r="A69" s="45" t="s">
        <v>258</v>
      </c>
      <c r="B69" s="40" t="s">
        <v>976</v>
      </c>
      <c r="C69" s="40" t="s">
        <v>259</v>
      </c>
      <c r="D69" s="40"/>
      <c r="E69" s="40"/>
      <c r="F69" s="40"/>
      <c r="G69" s="10">
        <f t="shared" ref="G69:H72" si="36">G70</f>
        <v>280</v>
      </c>
      <c r="H69" s="313">
        <f t="shared" si="36"/>
        <v>280</v>
      </c>
      <c r="I69" s="337">
        <f t="shared" si="5"/>
        <v>100</v>
      </c>
    </row>
    <row r="70" spans="1:9" ht="15.75" x14ac:dyDescent="0.25">
      <c r="A70" s="45" t="s">
        <v>267</v>
      </c>
      <c r="B70" s="40" t="s">
        <v>976</v>
      </c>
      <c r="C70" s="40" t="s">
        <v>259</v>
      </c>
      <c r="D70" s="40" t="s">
        <v>230</v>
      </c>
      <c r="E70" s="40"/>
      <c r="F70" s="40"/>
      <c r="G70" s="10">
        <f>G71</f>
        <v>280</v>
      </c>
      <c r="H70" s="313">
        <f t="shared" si="36"/>
        <v>280</v>
      </c>
      <c r="I70" s="337">
        <f t="shared" si="5"/>
        <v>100</v>
      </c>
    </row>
    <row r="71" spans="1:9" ht="31.5" x14ac:dyDescent="0.25">
      <c r="A71" s="29" t="s">
        <v>172</v>
      </c>
      <c r="B71" s="20" t="s">
        <v>977</v>
      </c>
      <c r="C71" s="40" t="s">
        <v>259</v>
      </c>
      <c r="D71" s="40" t="s">
        <v>230</v>
      </c>
      <c r="E71" s="40"/>
      <c r="F71" s="40"/>
      <c r="G71" s="10">
        <f t="shared" si="36"/>
        <v>280</v>
      </c>
      <c r="H71" s="313">
        <f t="shared" si="36"/>
        <v>280</v>
      </c>
      <c r="I71" s="337">
        <f t="shared" si="5"/>
        <v>100</v>
      </c>
    </row>
    <row r="72" spans="1:9" ht="15.75" x14ac:dyDescent="0.25">
      <c r="A72" s="29" t="s">
        <v>263</v>
      </c>
      <c r="B72" s="20" t="s">
        <v>977</v>
      </c>
      <c r="C72" s="40" t="s">
        <v>259</v>
      </c>
      <c r="D72" s="40" t="s">
        <v>230</v>
      </c>
      <c r="E72" s="40" t="s">
        <v>264</v>
      </c>
      <c r="F72" s="40"/>
      <c r="G72" s="10">
        <f t="shared" si="36"/>
        <v>280</v>
      </c>
      <c r="H72" s="313">
        <f t="shared" si="36"/>
        <v>280</v>
      </c>
      <c r="I72" s="337">
        <f t="shared" si="5"/>
        <v>100</v>
      </c>
    </row>
    <row r="73" spans="1:9" ht="31.5" x14ac:dyDescent="0.25">
      <c r="A73" s="29" t="s">
        <v>363</v>
      </c>
      <c r="B73" s="20" t="s">
        <v>977</v>
      </c>
      <c r="C73" s="40" t="s">
        <v>259</v>
      </c>
      <c r="D73" s="40" t="s">
        <v>230</v>
      </c>
      <c r="E73" s="40" t="s">
        <v>364</v>
      </c>
      <c r="F73" s="40"/>
      <c r="G73" s="10">
        <f>'Пр.4 ведом.20'!G484</f>
        <v>280</v>
      </c>
      <c r="H73" s="313">
        <f>'Пр.4 ведом.20'!H484</f>
        <v>280</v>
      </c>
      <c r="I73" s="337">
        <f t="shared" si="5"/>
        <v>100</v>
      </c>
    </row>
    <row r="74" spans="1:9" ht="47.25" x14ac:dyDescent="0.25">
      <c r="A74" s="45" t="s">
        <v>276</v>
      </c>
      <c r="B74" s="20" t="s">
        <v>977</v>
      </c>
      <c r="C74" s="40" t="s">
        <v>259</v>
      </c>
      <c r="D74" s="40" t="s">
        <v>230</v>
      </c>
      <c r="E74" s="40" t="s">
        <v>364</v>
      </c>
      <c r="F74" s="40" t="s">
        <v>642</v>
      </c>
      <c r="G74" s="10">
        <f t="shared" ref="G74:H74" si="37">G67</f>
        <v>280</v>
      </c>
      <c r="H74" s="313">
        <f t="shared" si="37"/>
        <v>280</v>
      </c>
      <c r="I74" s="337">
        <f t="shared" si="5"/>
        <v>100</v>
      </c>
    </row>
    <row r="75" spans="1:9" ht="15.75" x14ac:dyDescent="0.25">
      <c r="A75" s="58" t="s">
        <v>646</v>
      </c>
      <c r="B75" s="7" t="s">
        <v>374</v>
      </c>
      <c r="C75" s="7"/>
      <c r="D75" s="7"/>
      <c r="E75" s="7"/>
      <c r="F75" s="7"/>
      <c r="G75" s="59">
        <f>G77+G83</f>
        <v>681.7</v>
      </c>
      <c r="H75" s="325">
        <f t="shared" ref="H75" si="38">H77+H83</f>
        <v>681.64800000000002</v>
      </c>
      <c r="I75" s="4">
        <f t="shared" si="5"/>
        <v>99.992372011148603</v>
      </c>
    </row>
    <row r="76" spans="1:9" s="210" customFormat="1" ht="31.5" x14ac:dyDescent="0.25">
      <c r="A76" s="23" t="s">
        <v>1203</v>
      </c>
      <c r="B76" s="24" t="s">
        <v>979</v>
      </c>
      <c r="C76" s="40"/>
      <c r="D76" s="40"/>
      <c r="E76" s="40"/>
      <c r="F76" s="40"/>
      <c r="G76" s="10">
        <f>G77</f>
        <v>498</v>
      </c>
      <c r="H76" s="313">
        <f t="shared" ref="H76" si="39">H77</f>
        <v>497.95</v>
      </c>
      <c r="I76" s="337">
        <f t="shared" si="5"/>
        <v>99.989959839357425</v>
      </c>
    </row>
    <row r="77" spans="1:9" ht="15.75" x14ac:dyDescent="0.25">
      <c r="A77" s="45" t="s">
        <v>258</v>
      </c>
      <c r="B77" s="40" t="s">
        <v>979</v>
      </c>
      <c r="C77" s="40" t="s">
        <v>259</v>
      </c>
      <c r="D77" s="40"/>
      <c r="E77" s="40"/>
      <c r="F77" s="40"/>
      <c r="G77" s="10">
        <f t="shared" ref="G77:H79" si="40">G78</f>
        <v>498</v>
      </c>
      <c r="H77" s="313">
        <f t="shared" si="40"/>
        <v>497.95</v>
      </c>
      <c r="I77" s="337">
        <f t="shared" si="5"/>
        <v>99.989959839357425</v>
      </c>
    </row>
    <row r="78" spans="1:9" ht="15.75" x14ac:dyDescent="0.25">
      <c r="A78" s="45" t="s">
        <v>267</v>
      </c>
      <c r="B78" s="40" t="s">
        <v>979</v>
      </c>
      <c r="C78" s="40" t="s">
        <v>259</v>
      </c>
      <c r="D78" s="40" t="s">
        <v>230</v>
      </c>
      <c r="E78" s="40"/>
      <c r="F78" s="40"/>
      <c r="G78" s="10">
        <f>G79</f>
        <v>498</v>
      </c>
      <c r="H78" s="313">
        <f t="shared" si="40"/>
        <v>497.95</v>
      </c>
      <c r="I78" s="337">
        <f t="shared" si="5"/>
        <v>99.989959839357425</v>
      </c>
    </row>
    <row r="79" spans="1:9" ht="47.25" x14ac:dyDescent="0.25">
      <c r="A79" s="99" t="s">
        <v>1204</v>
      </c>
      <c r="B79" s="20" t="s">
        <v>980</v>
      </c>
      <c r="C79" s="40" t="s">
        <v>259</v>
      </c>
      <c r="D79" s="40" t="s">
        <v>230</v>
      </c>
      <c r="E79" s="40"/>
      <c r="F79" s="40"/>
      <c r="G79" s="10">
        <f>G80</f>
        <v>498</v>
      </c>
      <c r="H79" s="313">
        <f t="shared" si="40"/>
        <v>497.95</v>
      </c>
      <c r="I79" s="337">
        <f t="shared" si="5"/>
        <v>99.989959839357425</v>
      </c>
    </row>
    <row r="80" spans="1:9" ht="15.75" x14ac:dyDescent="0.25">
      <c r="A80" s="25" t="s">
        <v>263</v>
      </c>
      <c r="B80" s="20" t="s">
        <v>980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:H80" si="41">G81</f>
        <v>498</v>
      </c>
      <c r="H80" s="313">
        <f t="shared" si="41"/>
        <v>497.95</v>
      </c>
      <c r="I80" s="337">
        <f t="shared" si="5"/>
        <v>99.989959839357425</v>
      </c>
    </row>
    <row r="81" spans="1:9" ht="31.5" x14ac:dyDescent="0.25">
      <c r="A81" s="25" t="s">
        <v>363</v>
      </c>
      <c r="B81" s="20" t="s">
        <v>980</v>
      </c>
      <c r="C81" s="40" t="s">
        <v>259</v>
      </c>
      <c r="D81" s="40" t="s">
        <v>230</v>
      </c>
      <c r="E81" s="40" t="s">
        <v>364</v>
      </c>
      <c r="F81" s="40"/>
      <c r="G81" s="10">
        <f>'Пр.3 Рд,пр, ЦС,ВР 20'!F988</f>
        <v>498</v>
      </c>
      <c r="H81" s="313">
        <f>'Пр.3 Рд,пр, ЦС,ВР 20'!G988</f>
        <v>497.95</v>
      </c>
      <c r="I81" s="337">
        <f t="shared" ref="I81:I144" si="42">H81/G81*100</f>
        <v>99.989959839357425</v>
      </c>
    </row>
    <row r="82" spans="1:9" s="210" customFormat="1" ht="47.25" x14ac:dyDescent="0.25">
      <c r="A82" s="45" t="s">
        <v>276</v>
      </c>
      <c r="B82" s="20" t="s">
        <v>980</v>
      </c>
      <c r="C82" s="40" t="s">
        <v>259</v>
      </c>
      <c r="D82" s="40" t="s">
        <v>230</v>
      </c>
      <c r="E82" s="40" t="s">
        <v>364</v>
      </c>
      <c r="F82" s="40" t="s">
        <v>642</v>
      </c>
      <c r="G82" s="10">
        <f>G81</f>
        <v>498</v>
      </c>
      <c r="H82" s="313">
        <f t="shared" ref="H82" si="43">H81</f>
        <v>497.95</v>
      </c>
      <c r="I82" s="337">
        <f t="shared" si="42"/>
        <v>99.989959839357425</v>
      </c>
    </row>
    <row r="83" spans="1:9" ht="31.5" x14ac:dyDescent="0.25">
      <c r="A83" s="23" t="s">
        <v>978</v>
      </c>
      <c r="B83" s="24" t="s">
        <v>981</v>
      </c>
      <c r="C83" s="7"/>
      <c r="D83" s="7"/>
      <c r="E83" s="7"/>
      <c r="F83" s="7"/>
      <c r="G83" s="59">
        <f>G86+G90</f>
        <v>183.7</v>
      </c>
      <c r="H83" s="325">
        <f t="shared" ref="H83" si="44">H86+H90</f>
        <v>183.69800000000001</v>
      </c>
      <c r="I83" s="4">
        <f t="shared" si="42"/>
        <v>99.998911268372353</v>
      </c>
    </row>
    <row r="84" spans="1:9" s="210" customFormat="1" ht="15.75" x14ac:dyDescent="0.25">
      <c r="A84" s="45" t="s">
        <v>258</v>
      </c>
      <c r="B84" s="40" t="s">
        <v>981</v>
      </c>
      <c r="C84" s="40" t="s">
        <v>259</v>
      </c>
      <c r="D84" s="40"/>
      <c r="E84" s="40"/>
      <c r="F84" s="40"/>
      <c r="G84" s="10">
        <f t="shared" ref="G84:H87" si="45">G85</f>
        <v>183.7</v>
      </c>
      <c r="H84" s="313">
        <f t="shared" si="45"/>
        <v>183.69800000000001</v>
      </c>
      <c r="I84" s="337">
        <f t="shared" si="42"/>
        <v>99.998911268372353</v>
      </c>
    </row>
    <row r="85" spans="1:9" s="210" customFormat="1" ht="15.75" x14ac:dyDescent="0.25">
      <c r="A85" s="45" t="s">
        <v>267</v>
      </c>
      <c r="B85" s="40" t="s">
        <v>981</v>
      </c>
      <c r="C85" s="40" t="s">
        <v>259</v>
      </c>
      <c r="D85" s="40" t="s">
        <v>230</v>
      </c>
      <c r="E85" s="40"/>
      <c r="F85" s="40"/>
      <c r="G85" s="10">
        <f>G86</f>
        <v>183.7</v>
      </c>
      <c r="H85" s="313">
        <f t="shared" si="45"/>
        <v>183.69800000000001</v>
      </c>
      <c r="I85" s="337">
        <f t="shared" si="42"/>
        <v>99.998911268372353</v>
      </c>
    </row>
    <row r="86" spans="1:9" ht="31.5" x14ac:dyDescent="0.25">
      <c r="A86" s="25" t="s">
        <v>1147</v>
      </c>
      <c r="B86" s="20" t="s">
        <v>982</v>
      </c>
      <c r="C86" s="40" t="s">
        <v>259</v>
      </c>
      <c r="D86" s="40" t="s">
        <v>230</v>
      </c>
      <c r="E86" s="40"/>
      <c r="F86" s="40"/>
      <c r="G86" s="10">
        <f>G87</f>
        <v>183.7</v>
      </c>
      <c r="H86" s="313">
        <f t="shared" si="45"/>
        <v>183.69800000000001</v>
      </c>
      <c r="I86" s="337">
        <f t="shared" si="42"/>
        <v>99.998911268372353</v>
      </c>
    </row>
    <row r="87" spans="1:9" s="210" customFormat="1" ht="31.5" x14ac:dyDescent="0.25">
      <c r="A87" s="25" t="s">
        <v>146</v>
      </c>
      <c r="B87" s="20" t="s">
        <v>982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183.7</v>
      </c>
      <c r="H87" s="313">
        <f t="shared" si="45"/>
        <v>183.69800000000001</v>
      </c>
      <c r="I87" s="337">
        <f t="shared" si="42"/>
        <v>99.998911268372353</v>
      </c>
    </row>
    <row r="88" spans="1:9" s="210" customFormat="1" ht="31.5" x14ac:dyDescent="0.25">
      <c r="A88" s="25" t="s">
        <v>148</v>
      </c>
      <c r="B88" s="20" t="s">
        <v>982</v>
      </c>
      <c r="C88" s="40" t="s">
        <v>259</v>
      </c>
      <c r="D88" s="40" t="s">
        <v>230</v>
      </c>
      <c r="E88" s="40" t="s">
        <v>149</v>
      </c>
      <c r="F88" s="40"/>
      <c r="G88" s="10">
        <f>'Пр.3 Рд,пр, ЦС,ВР 20'!F992</f>
        <v>183.7</v>
      </c>
      <c r="H88" s="313">
        <f>'Пр.3 Рд,пр, ЦС,ВР 20'!G992</f>
        <v>183.69800000000001</v>
      </c>
      <c r="I88" s="337">
        <f t="shared" si="42"/>
        <v>99.998911268372353</v>
      </c>
    </row>
    <row r="89" spans="1:9" ht="47.25" x14ac:dyDescent="0.25">
      <c r="A89" s="45" t="s">
        <v>276</v>
      </c>
      <c r="B89" s="20" t="s">
        <v>982</v>
      </c>
      <c r="C89" s="40" t="s">
        <v>259</v>
      </c>
      <c r="D89" s="40" t="s">
        <v>230</v>
      </c>
      <c r="E89" s="40" t="s">
        <v>149</v>
      </c>
      <c r="F89" s="40" t="s">
        <v>642</v>
      </c>
      <c r="G89" s="10">
        <f>G88</f>
        <v>183.7</v>
      </c>
      <c r="H89" s="313">
        <f t="shared" ref="H89" si="46">H88</f>
        <v>183.69800000000001</v>
      </c>
      <c r="I89" s="337">
        <f t="shared" si="42"/>
        <v>99.998911268372353</v>
      </c>
    </row>
    <row r="90" spans="1:9" s="210" customFormat="1" ht="15.75" hidden="1" x14ac:dyDescent="0.25">
      <c r="A90" s="25" t="s">
        <v>263</v>
      </c>
      <c r="B90" s="20" t="s">
        <v>982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0</v>
      </c>
      <c r="H90" s="313">
        <f t="shared" ref="H90:H91" si="47">H91</f>
        <v>0</v>
      </c>
      <c r="I90" s="337" t="e">
        <f t="shared" si="42"/>
        <v>#DIV/0!</v>
      </c>
    </row>
    <row r="91" spans="1:9" s="210" customFormat="1" ht="31.5" hidden="1" x14ac:dyDescent="0.25">
      <c r="A91" s="25" t="s">
        <v>363</v>
      </c>
      <c r="B91" s="20" t="s">
        <v>982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0</v>
      </c>
      <c r="H91" s="313">
        <f t="shared" si="47"/>
        <v>0</v>
      </c>
      <c r="I91" s="337" t="e">
        <f t="shared" si="42"/>
        <v>#DIV/0!</v>
      </c>
    </row>
    <row r="92" spans="1:9" s="210" customFormat="1" ht="47.25" hidden="1" x14ac:dyDescent="0.25">
      <c r="A92" s="45" t="s">
        <v>276</v>
      </c>
      <c r="B92" s="20" t="s">
        <v>982</v>
      </c>
      <c r="C92" s="40" t="s">
        <v>259</v>
      </c>
      <c r="D92" s="40" t="s">
        <v>230</v>
      </c>
      <c r="E92" s="40" t="s">
        <v>364</v>
      </c>
      <c r="F92" s="40" t="s">
        <v>642</v>
      </c>
      <c r="G92" s="10">
        <f>'Пр.4 ведом.20'!G495</f>
        <v>0</v>
      </c>
      <c r="H92" s="313">
        <f>'Пр.4 ведом.20'!H495</f>
        <v>0</v>
      </c>
      <c r="I92" s="337" t="e">
        <f t="shared" si="42"/>
        <v>#DIV/0!</v>
      </c>
    </row>
    <row r="93" spans="1:9" ht="31.5" x14ac:dyDescent="0.25">
      <c r="A93" s="58" t="s">
        <v>648</v>
      </c>
      <c r="B93" s="7" t="s">
        <v>377</v>
      </c>
      <c r="C93" s="7"/>
      <c r="D93" s="7"/>
      <c r="E93" s="7"/>
      <c r="F93" s="7"/>
      <c r="G93" s="59">
        <f t="shared" ref="G93:H93" si="48">G95</f>
        <v>194</v>
      </c>
      <c r="H93" s="325">
        <f t="shared" si="48"/>
        <v>194</v>
      </c>
      <c r="I93" s="4">
        <f t="shared" si="42"/>
        <v>100</v>
      </c>
    </row>
    <row r="94" spans="1:9" s="210" customFormat="1" ht="47.25" x14ac:dyDescent="0.25">
      <c r="A94" s="23" t="s">
        <v>1206</v>
      </c>
      <c r="B94" s="24" t="s">
        <v>984</v>
      </c>
      <c r="C94" s="7"/>
      <c r="D94" s="7"/>
      <c r="E94" s="7"/>
      <c r="F94" s="7"/>
      <c r="G94" s="59">
        <f>G95</f>
        <v>194</v>
      </c>
      <c r="H94" s="325">
        <f t="shared" ref="H94" si="49">H95</f>
        <v>194</v>
      </c>
      <c r="I94" s="4">
        <f t="shared" si="42"/>
        <v>100</v>
      </c>
    </row>
    <row r="95" spans="1:9" ht="15.75" x14ac:dyDescent="0.25">
      <c r="A95" s="45" t="s">
        <v>258</v>
      </c>
      <c r="B95" s="40" t="s">
        <v>984</v>
      </c>
      <c r="C95" s="40" t="s">
        <v>259</v>
      </c>
      <c r="D95" s="40"/>
      <c r="E95" s="40"/>
      <c r="F95" s="40"/>
      <c r="G95" s="10">
        <f t="shared" ref="G95:H98" si="50">G96</f>
        <v>194</v>
      </c>
      <c r="H95" s="313">
        <f t="shared" si="50"/>
        <v>194</v>
      </c>
      <c r="I95" s="337">
        <f t="shared" si="42"/>
        <v>100</v>
      </c>
    </row>
    <row r="96" spans="1:9" ht="21.75" customHeight="1" x14ac:dyDescent="0.25">
      <c r="A96" s="45" t="s">
        <v>267</v>
      </c>
      <c r="B96" s="40" t="s">
        <v>984</v>
      </c>
      <c r="C96" s="40" t="s">
        <v>259</v>
      </c>
      <c r="D96" s="40" t="s">
        <v>230</v>
      </c>
      <c r="E96" s="40"/>
      <c r="F96" s="40"/>
      <c r="G96" s="10">
        <f>G97</f>
        <v>194</v>
      </c>
      <c r="H96" s="313">
        <f t="shared" si="50"/>
        <v>194</v>
      </c>
      <c r="I96" s="337">
        <f t="shared" si="42"/>
        <v>100</v>
      </c>
    </row>
    <row r="97" spans="1:9" ht="47.25" x14ac:dyDescent="0.25">
      <c r="A97" s="25" t="s">
        <v>1205</v>
      </c>
      <c r="B97" s="20" t="s">
        <v>983</v>
      </c>
      <c r="C97" s="40" t="s">
        <v>259</v>
      </c>
      <c r="D97" s="40" t="s">
        <v>230</v>
      </c>
      <c r="E97" s="40"/>
      <c r="F97" s="40"/>
      <c r="G97" s="10">
        <f t="shared" si="50"/>
        <v>194</v>
      </c>
      <c r="H97" s="313">
        <f t="shared" si="50"/>
        <v>194</v>
      </c>
      <c r="I97" s="337">
        <f t="shared" si="42"/>
        <v>100</v>
      </c>
    </row>
    <row r="98" spans="1:9" ht="15.75" x14ac:dyDescent="0.25">
      <c r="A98" s="25" t="s">
        <v>263</v>
      </c>
      <c r="B98" s="20" t="s">
        <v>983</v>
      </c>
      <c r="C98" s="40" t="s">
        <v>259</v>
      </c>
      <c r="D98" s="40" t="s">
        <v>230</v>
      </c>
      <c r="E98" s="40" t="s">
        <v>264</v>
      </c>
      <c r="F98" s="40"/>
      <c r="G98" s="10">
        <f t="shared" si="50"/>
        <v>194</v>
      </c>
      <c r="H98" s="313">
        <f t="shared" si="50"/>
        <v>194</v>
      </c>
      <c r="I98" s="337">
        <f t="shared" si="42"/>
        <v>100</v>
      </c>
    </row>
    <row r="99" spans="1:9" ht="31.5" x14ac:dyDescent="0.25">
      <c r="A99" s="25" t="s">
        <v>363</v>
      </c>
      <c r="B99" s="20" t="s">
        <v>983</v>
      </c>
      <c r="C99" s="40" t="s">
        <v>259</v>
      </c>
      <c r="D99" s="40" t="s">
        <v>230</v>
      </c>
      <c r="E99" s="40" t="s">
        <v>364</v>
      </c>
      <c r="F99" s="40"/>
      <c r="G99" s="10">
        <f>'Пр.4 ведом.20'!G500</f>
        <v>194</v>
      </c>
      <c r="H99" s="313">
        <f>'Пр.4 ведом.20'!H500</f>
        <v>194</v>
      </c>
      <c r="I99" s="337">
        <f t="shared" si="42"/>
        <v>100</v>
      </c>
    </row>
    <row r="100" spans="1:9" ht="47.25" x14ac:dyDescent="0.25">
      <c r="A100" s="45" t="s">
        <v>276</v>
      </c>
      <c r="B100" s="20" t="s">
        <v>983</v>
      </c>
      <c r="C100" s="40" t="s">
        <v>259</v>
      </c>
      <c r="D100" s="40" t="s">
        <v>230</v>
      </c>
      <c r="E100" s="40" t="s">
        <v>364</v>
      </c>
      <c r="F100" s="40" t="s">
        <v>642</v>
      </c>
      <c r="G100" s="10">
        <f t="shared" ref="G100:H100" si="51">G93</f>
        <v>194</v>
      </c>
      <c r="H100" s="313">
        <f t="shared" si="51"/>
        <v>194</v>
      </c>
      <c r="I100" s="337">
        <f t="shared" si="42"/>
        <v>100</v>
      </c>
    </row>
    <row r="101" spans="1:9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:H101" si="52">G103</f>
        <v>238.5</v>
      </c>
      <c r="H101" s="325">
        <f t="shared" si="52"/>
        <v>238.46700000000001</v>
      </c>
      <c r="I101" s="4">
        <f t="shared" si="42"/>
        <v>99.986163522012589</v>
      </c>
    </row>
    <row r="102" spans="1:9" s="210" customFormat="1" ht="31.5" x14ac:dyDescent="0.25">
      <c r="A102" s="23" t="s">
        <v>1145</v>
      </c>
      <c r="B102" s="24" t="s">
        <v>964</v>
      </c>
      <c r="C102" s="7"/>
      <c r="D102" s="7"/>
      <c r="E102" s="7"/>
      <c r="F102" s="7"/>
      <c r="G102" s="59">
        <f>G103</f>
        <v>238.5</v>
      </c>
      <c r="H102" s="325">
        <f t="shared" ref="H102:H104" si="53">H103</f>
        <v>238.46700000000001</v>
      </c>
      <c r="I102" s="4">
        <f t="shared" si="42"/>
        <v>99.986163522012589</v>
      </c>
    </row>
    <row r="103" spans="1:9" ht="15.75" x14ac:dyDescent="0.25">
      <c r="A103" s="45" t="s">
        <v>313</v>
      </c>
      <c r="B103" s="40" t="s">
        <v>964</v>
      </c>
      <c r="C103" s="40" t="s">
        <v>314</v>
      </c>
      <c r="D103" s="40"/>
      <c r="E103" s="40"/>
      <c r="F103" s="40"/>
      <c r="G103" s="10">
        <f>G104</f>
        <v>238.5</v>
      </c>
      <c r="H103" s="313">
        <f t="shared" si="53"/>
        <v>238.46700000000001</v>
      </c>
      <c r="I103" s="337">
        <f t="shared" si="42"/>
        <v>99.986163522012589</v>
      </c>
    </row>
    <row r="104" spans="1:9" ht="15.75" x14ac:dyDescent="0.25">
      <c r="A104" s="45" t="s">
        <v>348</v>
      </c>
      <c r="B104" s="40" t="s">
        <v>964</v>
      </c>
      <c r="C104" s="40" t="s">
        <v>314</v>
      </c>
      <c r="D104" s="40" t="s">
        <v>165</v>
      </c>
      <c r="E104" s="40"/>
      <c r="F104" s="40"/>
      <c r="G104" s="10">
        <f>G105</f>
        <v>238.5</v>
      </c>
      <c r="H104" s="313">
        <f t="shared" si="53"/>
        <v>238.46700000000001</v>
      </c>
      <c r="I104" s="337">
        <f t="shared" si="42"/>
        <v>99.986163522012589</v>
      </c>
    </row>
    <row r="105" spans="1:9" ht="37.5" customHeight="1" x14ac:dyDescent="0.25">
      <c r="A105" s="29" t="s">
        <v>172</v>
      </c>
      <c r="B105" s="20" t="s">
        <v>1221</v>
      </c>
      <c r="C105" s="40" t="s">
        <v>314</v>
      </c>
      <c r="D105" s="40" t="s">
        <v>165</v>
      </c>
      <c r="E105" s="40"/>
      <c r="F105" s="40"/>
      <c r="G105" s="10">
        <f t="shared" ref="G105:H106" si="54">G106</f>
        <v>238.5</v>
      </c>
      <c r="H105" s="313">
        <f t="shared" si="54"/>
        <v>238.46700000000001</v>
      </c>
      <c r="I105" s="337">
        <f t="shared" si="42"/>
        <v>99.986163522012589</v>
      </c>
    </row>
    <row r="106" spans="1:9" ht="31.5" x14ac:dyDescent="0.25">
      <c r="A106" s="29" t="s">
        <v>146</v>
      </c>
      <c r="B106" s="20" t="s">
        <v>1221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54"/>
        <v>238.5</v>
      </c>
      <c r="H106" s="313">
        <f t="shared" si="54"/>
        <v>238.46700000000001</v>
      </c>
      <c r="I106" s="337">
        <f t="shared" si="42"/>
        <v>99.986163522012589</v>
      </c>
    </row>
    <row r="107" spans="1:9" ht="31.5" x14ac:dyDescent="0.25">
      <c r="A107" s="29" t="s">
        <v>148</v>
      </c>
      <c r="B107" s="20" t="s">
        <v>1221</v>
      </c>
      <c r="C107" s="40" t="s">
        <v>314</v>
      </c>
      <c r="D107" s="40" t="s">
        <v>165</v>
      </c>
      <c r="E107" s="40" t="s">
        <v>149</v>
      </c>
      <c r="F107" s="40"/>
      <c r="G107" s="10">
        <f>'Пр.4 ведом.20'!G471</f>
        <v>238.5</v>
      </c>
      <c r="H107" s="313">
        <f>'Пр.4 ведом.20'!H471</f>
        <v>238.46700000000001</v>
      </c>
      <c r="I107" s="337">
        <f t="shared" si="42"/>
        <v>99.986163522012589</v>
      </c>
    </row>
    <row r="108" spans="1:9" ht="47.25" x14ac:dyDescent="0.25">
      <c r="A108" s="45" t="s">
        <v>276</v>
      </c>
      <c r="B108" s="20" t="s">
        <v>1221</v>
      </c>
      <c r="C108" s="40" t="s">
        <v>314</v>
      </c>
      <c r="D108" s="40" t="s">
        <v>165</v>
      </c>
      <c r="E108" s="40" t="s">
        <v>149</v>
      </c>
      <c r="F108" s="40" t="s">
        <v>642</v>
      </c>
      <c r="G108" s="10">
        <f t="shared" ref="G108:H108" si="55">G101</f>
        <v>238.5</v>
      </c>
      <c r="H108" s="313">
        <f t="shared" si="55"/>
        <v>238.46700000000001</v>
      </c>
      <c r="I108" s="337">
        <f t="shared" si="42"/>
        <v>99.986163522012589</v>
      </c>
    </row>
    <row r="109" spans="1:9" ht="47.25" hidden="1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0</v>
      </c>
      <c r="H109" s="325">
        <f t="shared" ref="H109" si="56">H110+H121+H132+H143</f>
        <v>0</v>
      </c>
      <c r="I109" s="337" t="e">
        <f t="shared" si="42"/>
        <v>#DIV/0!</v>
      </c>
    </row>
    <row r="110" spans="1:9" s="210" customFormat="1" ht="47.25" hidden="1" x14ac:dyDescent="0.25">
      <c r="A110" s="220" t="s">
        <v>1209</v>
      </c>
      <c r="B110" s="24" t="s">
        <v>935</v>
      </c>
      <c r="C110" s="7"/>
      <c r="D110" s="7"/>
      <c r="E110" s="7"/>
      <c r="F110" s="7"/>
      <c r="G110" s="59">
        <f>G111</f>
        <v>0</v>
      </c>
      <c r="H110" s="325">
        <f t="shared" ref="H110" si="57">H111</f>
        <v>0</v>
      </c>
      <c r="I110" s="337" t="e">
        <f t="shared" si="42"/>
        <v>#DIV/0!</v>
      </c>
    </row>
    <row r="111" spans="1:9" ht="15.75" hidden="1" x14ac:dyDescent="0.25">
      <c r="A111" s="45" t="s">
        <v>247</v>
      </c>
      <c r="B111" s="40" t="s">
        <v>935</v>
      </c>
      <c r="C111" s="40" t="s">
        <v>165</v>
      </c>
      <c r="D111" s="40"/>
      <c r="E111" s="40"/>
      <c r="F111" s="40"/>
      <c r="G111" s="10">
        <f t="shared" ref="G111:H111" si="58">G112</f>
        <v>0</v>
      </c>
      <c r="H111" s="313">
        <f t="shared" si="58"/>
        <v>0</v>
      </c>
      <c r="I111" s="337" t="e">
        <f t="shared" si="42"/>
        <v>#DIV/0!</v>
      </c>
    </row>
    <row r="112" spans="1:9" ht="18" hidden="1" customHeight="1" x14ac:dyDescent="0.25">
      <c r="A112" s="45" t="s">
        <v>252</v>
      </c>
      <c r="B112" s="40" t="s">
        <v>935</v>
      </c>
      <c r="C112" s="40" t="s">
        <v>165</v>
      </c>
      <c r="D112" s="40" t="s">
        <v>253</v>
      </c>
      <c r="E112" s="40"/>
      <c r="F112" s="40"/>
      <c r="G112" s="10">
        <f>G113+G117</f>
        <v>0</v>
      </c>
      <c r="H112" s="313">
        <f t="shared" ref="H112" si="59">H113+H117</f>
        <v>0</v>
      </c>
      <c r="I112" s="337" t="e">
        <f t="shared" si="42"/>
        <v>#DIV/0!</v>
      </c>
    </row>
    <row r="113" spans="1:9" ht="31.7" hidden="1" customHeight="1" x14ac:dyDescent="0.25">
      <c r="A113" s="25" t="s">
        <v>390</v>
      </c>
      <c r="B113" s="20" t="s">
        <v>1210</v>
      </c>
      <c r="C113" s="40" t="s">
        <v>165</v>
      </c>
      <c r="D113" s="40" t="s">
        <v>253</v>
      </c>
      <c r="E113" s="40"/>
      <c r="F113" s="40"/>
      <c r="G113" s="10">
        <f t="shared" ref="G113:H114" si="60">G114</f>
        <v>0</v>
      </c>
      <c r="H113" s="313">
        <f t="shared" si="60"/>
        <v>0</v>
      </c>
      <c r="I113" s="337" t="e">
        <f t="shared" si="42"/>
        <v>#DIV/0!</v>
      </c>
    </row>
    <row r="114" spans="1:9" ht="22.7" hidden="1" customHeight="1" x14ac:dyDescent="0.25">
      <c r="A114" s="25" t="s">
        <v>263</v>
      </c>
      <c r="B114" s="20" t="s">
        <v>1210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  <c r="H114" s="313">
        <f t="shared" si="60"/>
        <v>0</v>
      </c>
      <c r="I114" s="337" t="e">
        <f t="shared" si="42"/>
        <v>#DIV/0!</v>
      </c>
    </row>
    <row r="115" spans="1:9" ht="31.5" hidden="1" x14ac:dyDescent="0.25">
      <c r="A115" s="25" t="s">
        <v>265</v>
      </c>
      <c r="B115" s="20" t="s">
        <v>1210</v>
      </c>
      <c r="C115" s="40" t="s">
        <v>165</v>
      </c>
      <c r="D115" s="40" t="s">
        <v>253</v>
      </c>
      <c r="E115" s="40" t="s">
        <v>266</v>
      </c>
      <c r="F115" s="40"/>
      <c r="G115" s="10">
        <f>'Пр.3 Рд,пр, ЦС,ВР 20'!F321</f>
        <v>0</v>
      </c>
      <c r="H115" s="313">
        <f>'Пр.3 Рд,пр, ЦС,ВР 20'!G321</f>
        <v>0</v>
      </c>
      <c r="I115" s="337" t="e">
        <f t="shared" si="42"/>
        <v>#DIV/0!</v>
      </c>
    </row>
    <row r="116" spans="1:9" s="210" customFormat="1" ht="47.25" hidden="1" x14ac:dyDescent="0.25">
      <c r="A116" s="45" t="s">
        <v>276</v>
      </c>
      <c r="B116" s="20" t="s">
        <v>1210</v>
      </c>
      <c r="C116" s="40" t="s">
        <v>165</v>
      </c>
      <c r="D116" s="40" t="s">
        <v>253</v>
      </c>
      <c r="E116" s="40" t="s">
        <v>266</v>
      </c>
      <c r="F116" s="40" t="s">
        <v>642</v>
      </c>
      <c r="G116" s="10">
        <f>G115</f>
        <v>0</v>
      </c>
      <c r="H116" s="313">
        <f t="shared" ref="H116" si="61">H115</f>
        <v>0</v>
      </c>
      <c r="I116" s="337" t="e">
        <f t="shared" si="42"/>
        <v>#DIV/0!</v>
      </c>
    </row>
    <row r="117" spans="1:9" ht="54.75" hidden="1" customHeight="1" x14ac:dyDescent="0.25">
      <c r="A117" s="25" t="s">
        <v>390</v>
      </c>
      <c r="B117" s="20" t="s">
        <v>1211</v>
      </c>
      <c r="C117" s="40" t="s">
        <v>165</v>
      </c>
      <c r="D117" s="40" t="s">
        <v>253</v>
      </c>
      <c r="E117" s="40"/>
      <c r="F117" s="40"/>
      <c r="G117" s="10">
        <f>G118</f>
        <v>0</v>
      </c>
      <c r="H117" s="313">
        <f t="shared" ref="H117:H118" si="62">H118</f>
        <v>0</v>
      </c>
      <c r="I117" s="337" t="e">
        <f t="shared" si="42"/>
        <v>#DIV/0!</v>
      </c>
    </row>
    <row r="118" spans="1:9" ht="15.75" hidden="1" x14ac:dyDescent="0.25">
      <c r="A118" s="25" t="s">
        <v>263</v>
      </c>
      <c r="B118" s="20" t="s">
        <v>1211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  <c r="H118" s="313">
        <f t="shared" si="62"/>
        <v>0</v>
      </c>
      <c r="I118" s="337" t="e">
        <f t="shared" si="42"/>
        <v>#DIV/0!</v>
      </c>
    </row>
    <row r="119" spans="1:9" ht="31.5" hidden="1" x14ac:dyDescent="0.25">
      <c r="A119" s="25" t="s">
        <v>265</v>
      </c>
      <c r="B119" s="20" t="s">
        <v>1211</v>
      </c>
      <c r="C119" s="40" t="s">
        <v>165</v>
      </c>
      <c r="D119" s="40" t="s">
        <v>253</v>
      </c>
      <c r="E119" s="40" t="s">
        <v>266</v>
      </c>
      <c r="F119" s="40"/>
      <c r="G119" s="10">
        <f>'Пр.3 Рд,пр, ЦС,ВР 20'!F324</f>
        <v>0</v>
      </c>
      <c r="H119" s="313">
        <f>'Пр.3 Рд,пр, ЦС,ВР 20'!G324</f>
        <v>0</v>
      </c>
      <c r="I119" s="337" t="e">
        <f t="shared" si="42"/>
        <v>#DIV/0!</v>
      </c>
    </row>
    <row r="120" spans="1:9" s="210" customFormat="1" ht="47.25" hidden="1" x14ac:dyDescent="0.25">
      <c r="A120" s="45" t="s">
        <v>276</v>
      </c>
      <c r="B120" s="20" t="s">
        <v>1211</v>
      </c>
      <c r="C120" s="40" t="s">
        <v>165</v>
      </c>
      <c r="D120" s="40" t="s">
        <v>253</v>
      </c>
      <c r="E120" s="40" t="s">
        <v>266</v>
      </c>
      <c r="F120" s="40" t="s">
        <v>642</v>
      </c>
      <c r="G120" s="10">
        <f>G119</f>
        <v>0</v>
      </c>
      <c r="H120" s="313">
        <f t="shared" ref="H120" si="63">H119</f>
        <v>0</v>
      </c>
      <c r="I120" s="337" t="e">
        <f t="shared" si="42"/>
        <v>#DIV/0!</v>
      </c>
    </row>
    <row r="121" spans="1:9" ht="31.5" hidden="1" x14ac:dyDescent="0.25">
      <c r="A121" s="23" t="s">
        <v>1207</v>
      </c>
      <c r="B121" s="24" t="s">
        <v>936</v>
      </c>
      <c r="C121" s="7"/>
      <c r="D121" s="7"/>
      <c r="E121" s="7"/>
      <c r="F121" s="7"/>
      <c r="G121" s="59">
        <f>G124+G128</f>
        <v>0</v>
      </c>
      <c r="H121" s="325">
        <f t="shared" ref="H121" si="64">H124+H128</f>
        <v>0</v>
      </c>
      <c r="I121" s="337" t="e">
        <f t="shared" si="42"/>
        <v>#DIV/0!</v>
      </c>
    </row>
    <row r="122" spans="1:9" s="210" customFormat="1" ht="15.75" hidden="1" x14ac:dyDescent="0.25">
      <c r="A122" s="45" t="s">
        <v>247</v>
      </c>
      <c r="B122" s="40" t="s">
        <v>936</v>
      </c>
      <c r="C122" s="40" t="s">
        <v>165</v>
      </c>
      <c r="D122" s="40"/>
      <c r="E122" s="40"/>
      <c r="F122" s="40"/>
      <c r="G122" s="10">
        <f t="shared" ref="G122:H122" si="65">G123</f>
        <v>0</v>
      </c>
      <c r="H122" s="313">
        <f t="shared" si="65"/>
        <v>0</v>
      </c>
      <c r="I122" s="337" t="e">
        <f t="shared" si="42"/>
        <v>#DIV/0!</v>
      </c>
    </row>
    <row r="123" spans="1:9" s="210" customFormat="1" ht="15.75" hidden="1" x14ac:dyDescent="0.25">
      <c r="A123" s="45" t="s">
        <v>252</v>
      </c>
      <c r="B123" s="40" t="s">
        <v>936</v>
      </c>
      <c r="C123" s="40" t="s">
        <v>165</v>
      </c>
      <c r="D123" s="40" t="s">
        <v>253</v>
      </c>
      <c r="E123" s="40"/>
      <c r="F123" s="40"/>
      <c r="G123" s="10">
        <f>G124+G128</f>
        <v>0</v>
      </c>
      <c r="H123" s="313">
        <f t="shared" ref="H123" si="66">H124+H128</f>
        <v>0</v>
      </c>
      <c r="I123" s="337" t="e">
        <f t="shared" si="42"/>
        <v>#DIV/0!</v>
      </c>
    </row>
    <row r="124" spans="1:9" s="210" customFormat="1" ht="31.5" hidden="1" x14ac:dyDescent="0.25">
      <c r="A124" s="25" t="s">
        <v>1208</v>
      </c>
      <c r="B124" s="20" t="s">
        <v>1212</v>
      </c>
      <c r="C124" s="40" t="s">
        <v>165</v>
      </c>
      <c r="D124" s="40" t="s">
        <v>253</v>
      </c>
      <c r="E124" s="40"/>
      <c r="F124" s="40"/>
      <c r="G124" s="10">
        <f>G125</f>
        <v>0</v>
      </c>
      <c r="H124" s="313">
        <f t="shared" ref="H124:H125" si="67">H125</f>
        <v>0</v>
      </c>
      <c r="I124" s="337" t="e">
        <f t="shared" si="42"/>
        <v>#DIV/0!</v>
      </c>
    </row>
    <row r="125" spans="1:9" s="210" customFormat="1" ht="31.5" hidden="1" x14ac:dyDescent="0.25">
      <c r="A125" s="25" t="s">
        <v>287</v>
      </c>
      <c r="B125" s="20" t="s">
        <v>1212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0</v>
      </c>
      <c r="H125" s="313">
        <f t="shared" si="67"/>
        <v>0</v>
      </c>
      <c r="I125" s="337" t="e">
        <f t="shared" si="42"/>
        <v>#DIV/0!</v>
      </c>
    </row>
    <row r="126" spans="1:9" s="210" customFormat="1" ht="63" hidden="1" x14ac:dyDescent="0.25">
      <c r="A126" s="25" t="s">
        <v>1286</v>
      </c>
      <c r="B126" s="20" t="s">
        <v>1212</v>
      </c>
      <c r="C126" s="40" t="s">
        <v>165</v>
      </c>
      <c r="D126" s="40" t="s">
        <v>253</v>
      </c>
      <c r="E126" s="40" t="s">
        <v>387</v>
      </c>
      <c r="F126" s="40"/>
      <c r="G126" s="10">
        <f>'Пр.3 Рд,пр, ЦС,ВР 20'!F328</f>
        <v>0</v>
      </c>
      <c r="H126" s="313">
        <f>'Пр.3 Рд,пр, ЦС,ВР 20'!G328</f>
        <v>0</v>
      </c>
      <c r="I126" s="337" t="e">
        <f t="shared" si="42"/>
        <v>#DIV/0!</v>
      </c>
    </row>
    <row r="127" spans="1:9" s="210" customFormat="1" ht="47.25" hidden="1" x14ac:dyDescent="0.25">
      <c r="A127" s="45" t="s">
        <v>276</v>
      </c>
      <c r="B127" s="20" t="s">
        <v>1212</v>
      </c>
      <c r="C127" s="40" t="s">
        <v>165</v>
      </c>
      <c r="D127" s="40" t="s">
        <v>253</v>
      </c>
      <c r="E127" s="40" t="s">
        <v>387</v>
      </c>
      <c r="F127" s="40" t="s">
        <v>642</v>
      </c>
      <c r="G127" s="10">
        <f>G126</f>
        <v>0</v>
      </c>
      <c r="H127" s="313">
        <f t="shared" ref="H127" si="68">H126</f>
        <v>0</v>
      </c>
      <c r="I127" s="337" t="e">
        <f t="shared" si="42"/>
        <v>#DIV/0!</v>
      </c>
    </row>
    <row r="128" spans="1:9" s="210" customFormat="1" ht="110.25" hidden="1" x14ac:dyDescent="0.25">
      <c r="A128" s="25" t="s">
        <v>388</v>
      </c>
      <c r="B128" s="20" t="s">
        <v>1213</v>
      </c>
      <c r="C128" s="40" t="s">
        <v>165</v>
      </c>
      <c r="D128" s="40" t="s">
        <v>253</v>
      </c>
      <c r="E128" s="40"/>
      <c r="F128" s="40"/>
      <c r="G128" s="10">
        <f>G129</f>
        <v>0</v>
      </c>
      <c r="H128" s="313">
        <f t="shared" ref="H128:H129" si="69">H129</f>
        <v>0</v>
      </c>
      <c r="I128" s="337" t="e">
        <f t="shared" si="42"/>
        <v>#DIV/0!</v>
      </c>
    </row>
    <row r="129" spans="1:9" s="210" customFormat="1" ht="31.5" hidden="1" x14ac:dyDescent="0.25">
      <c r="A129" s="25" t="s">
        <v>287</v>
      </c>
      <c r="B129" s="20" t="s">
        <v>1213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0</v>
      </c>
      <c r="H129" s="313">
        <f t="shared" si="69"/>
        <v>0</v>
      </c>
      <c r="I129" s="337" t="e">
        <f t="shared" si="42"/>
        <v>#DIV/0!</v>
      </c>
    </row>
    <row r="130" spans="1:9" s="210" customFormat="1" ht="63" hidden="1" x14ac:dyDescent="0.25">
      <c r="A130" s="25" t="s">
        <v>1286</v>
      </c>
      <c r="B130" s="20" t="s">
        <v>1213</v>
      </c>
      <c r="C130" s="40" t="s">
        <v>165</v>
      </c>
      <c r="D130" s="40" t="s">
        <v>253</v>
      </c>
      <c r="E130" s="40" t="s">
        <v>387</v>
      </c>
      <c r="F130" s="40"/>
      <c r="G130" s="10">
        <f>'Пр.3 Рд,пр, ЦС,ВР 20'!F331</f>
        <v>0</v>
      </c>
      <c r="H130" s="313">
        <f>'Пр.3 Рд,пр, ЦС,ВР 20'!G331</f>
        <v>0</v>
      </c>
      <c r="I130" s="337" t="e">
        <f t="shared" si="42"/>
        <v>#DIV/0!</v>
      </c>
    </row>
    <row r="131" spans="1:9" s="210" customFormat="1" ht="47.25" hidden="1" x14ac:dyDescent="0.25">
      <c r="A131" s="45" t="s">
        <v>276</v>
      </c>
      <c r="B131" s="20" t="s">
        <v>1213</v>
      </c>
      <c r="C131" s="40" t="s">
        <v>165</v>
      </c>
      <c r="D131" s="40" t="s">
        <v>253</v>
      </c>
      <c r="E131" s="40" t="s">
        <v>387</v>
      </c>
      <c r="F131" s="40" t="s">
        <v>642</v>
      </c>
      <c r="G131" s="10">
        <f>G130</f>
        <v>0</v>
      </c>
      <c r="H131" s="313">
        <f t="shared" ref="H131" si="70">H130</f>
        <v>0</v>
      </c>
      <c r="I131" s="337" t="e">
        <f t="shared" si="42"/>
        <v>#DIV/0!</v>
      </c>
    </row>
    <row r="132" spans="1:9" s="210" customFormat="1" ht="31.5" hidden="1" x14ac:dyDescent="0.25">
      <c r="A132" s="23" t="s">
        <v>1143</v>
      </c>
      <c r="B132" s="24" t="s">
        <v>937</v>
      </c>
      <c r="C132" s="7"/>
      <c r="D132" s="7"/>
      <c r="E132" s="7"/>
      <c r="F132" s="7"/>
      <c r="G132" s="59">
        <f>G135+G139</f>
        <v>0</v>
      </c>
      <c r="H132" s="325">
        <f t="shared" ref="H132" si="71">H135+H139</f>
        <v>0</v>
      </c>
      <c r="I132" s="337" t="e">
        <f t="shared" si="42"/>
        <v>#DIV/0!</v>
      </c>
    </row>
    <row r="133" spans="1:9" s="210" customFormat="1" ht="15.75" hidden="1" x14ac:dyDescent="0.25">
      <c r="A133" s="45" t="s">
        <v>247</v>
      </c>
      <c r="B133" s="40" t="s">
        <v>937</v>
      </c>
      <c r="C133" s="40" t="s">
        <v>165</v>
      </c>
      <c r="D133" s="40"/>
      <c r="E133" s="40"/>
      <c r="F133" s="40"/>
      <c r="G133" s="10">
        <f t="shared" ref="G133:H133" si="72">G134</f>
        <v>0</v>
      </c>
      <c r="H133" s="313">
        <f t="shared" si="72"/>
        <v>0</v>
      </c>
      <c r="I133" s="337" t="e">
        <f t="shared" si="42"/>
        <v>#DIV/0!</v>
      </c>
    </row>
    <row r="134" spans="1:9" s="210" customFormat="1" ht="15.75" hidden="1" x14ac:dyDescent="0.25">
      <c r="A134" s="45" t="s">
        <v>252</v>
      </c>
      <c r="B134" s="40" t="s">
        <v>937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313">
        <f t="shared" ref="H134" si="73">H135+H139</f>
        <v>0</v>
      </c>
      <c r="I134" s="337" t="e">
        <f t="shared" si="42"/>
        <v>#DIV/0!</v>
      </c>
    </row>
    <row r="135" spans="1:9" s="210" customFormat="1" ht="31.5" hidden="1" x14ac:dyDescent="0.25">
      <c r="A135" s="261" t="s">
        <v>1216</v>
      </c>
      <c r="B135" s="20" t="s">
        <v>1214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313">
        <f t="shared" ref="H135:H136" si="74">H136</f>
        <v>0</v>
      </c>
      <c r="I135" s="337" t="e">
        <f t="shared" si="42"/>
        <v>#DIV/0!</v>
      </c>
    </row>
    <row r="136" spans="1:9" s="210" customFormat="1" ht="31.5" hidden="1" x14ac:dyDescent="0.25">
      <c r="A136" s="25" t="s">
        <v>146</v>
      </c>
      <c r="B136" s="20" t="s">
        <v>1214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313">
        <f t="shared" si="74"/>
        <v>0</v>
      </c>
      <c r="I136" s="337" t="e">
        <f t="shared" si="42"/>
        <v>#DIV/0!</v>
      </c>
    </row>
    <row r="137" spans="1:9" s="210" customFormat="1" ht="31.5" hidden="1" x14ac:dyDescent="0.25">
      <c r="A137" s="25" t="s">
        <v>148</v>
      </c>
      <c r="B137" s="20" t="s">
        <v>1214</v>
      </c>
      <c r="C137" s="40" t="s">
        <v>165</v>
      </c>
      <c r="D137" s="40" t="s">
        <v>253</v>
      </c>
      <c r="E137" s="40" t="s">
        <v>149</v>
      </c>
      <c r="F137" s="40"/>
      <c r="G137" s="10">
        <f>'Пр.3 Рд,пр, ЦС,ВР 20'!F335</f>
        <v>0</v>
      </c>
      <c r="H137" s="313">
        <f>'Пр.3 Рд,пр, ЦС,ВР 20'!G335</f>
        <v>0</v>
      </c>
      <c r="I137" s="337" t="e">
        <f t="shared" si="42"/>
        <v>#DIV/0!</v>
      </c>
    </row>
    <row r="138" spans="1:9" s="210" customFormat="1" ht="47.25" hidden="1" x14ac:dyDescent="0.25">
      <c r="A138" s="45" t="s">
        <v>276</v>
      </c>
      <c r="B138" s="20" t="s">
        <v>1214</v>
      </c>
      <c r="C138" s="40" t="s">
        <v>165</v>
      </c>
      <c r="D138" s="40" t="s">
        <v>253</v>
      </c>
      <c r="E138" s="40" t="s">
        <v>149</v>
      </c>
      <c r="F138" s="9" t="s">
        <v>642</v>
      </c>
      <c r="G138" s="10">
        <f>G137</f>
        <v>0</v>
      </c>
      <c r="H138" s="313">
        <f t="shared" ref="H138" si="75">H137</f>
        <v>0</v>
      </c>
      <c r="I138" s="337" t="e">
        <f t="shared" si="42"/>
        <v>#DIV/0!</v>
      </c>
    </row>
    <row r="139" spans="1:9" s="210" customFormat="1" ht="31.5" hidden="1" x14ac:dyDescent="0.25">
      <c r="A139" s="25" t="s">
        <v>392</v>
      </c>
      <c r="B139" s="20" t="s">
        <v>1215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313">
        <f t="shared" ref="H139:H140" si="76">H140</f>
        <v>0</v>
      </c>
      <c r="I139" s="337" t="e">
        <f t="shared" si="42"/>
        <v>#DIV/0!</v>
      </c>
    </row>
    <row r="140" spans="1:9" s="210" customFormat="1" ht="31.5" hidden="1" x14ac:dyDescent="0.25">
      <c r="A140" s="25" t="s">
        <v>146</v>
      </c>
      <c r="B140" s="20" t="s">
        <v>1215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313">
        <f t="shared" si="76"/>
        <v>0</v>
      </c>
      <c r="I140" s="337" t="e">
        <f t="shared" si="42"/>
        <v>#DIV/0!</v>
      </c>
    </row>
    <row r="141" spans="1:9" s="210" customFormat="1" ht="31.5" hidden="1" x14ac:dyDescent="0.25">
      <c r="A141" s="25" t="s">
        <v>148</v>
      </c>
      <c r="B141" s="20" t="s">
        <v>1215</v>
      </c>
      <c r="C141" s="40" t="s">
        <v>165</v>
      </c>
      <c r="D141" s="40" t="s">
        <v>253</v>
      </c>
      <c r="E141" s="40" t="s">
        <v>149</v>
      </c>
      <c r="F141" s="40"/>
      <c r="G141" s="10">
        <f>'Пр.3 Рд,пр, ЦС,ВР 20'!F338</f>
        <v>0</v>
      </c>
      <c r="H141" s="313">
        <f>'Пр.3 Рд,пр, ЦС,ВР 20'!G338</f>
        <v>0</v>
      </c>
      <c r="I141" s="337" t="e">
        <f t="shared" si="42"/>
        <v>#DIV/0!</v>
      </c>
    </row>
    <row r="142" spans="1:9" ht="47.25" hidden="1" x14ac:dyDescent="0.25">
      <c r="A142" s="45" t="s">
        <v>276</v>
      </c>
      <c r="B142" s="20" t="s">
        <v>1215</v>
      </c>
      <c r="C142" s="40" t="s">
        <v>165</v>
      </c>
      <c r="D142" s="40" t="s">
        <v>253</v>
      </c>
      <c r="E142" s="40" t="s">
        <v>149</v>
      </c>
      <c r="F142" s="9" t="s">
        <v>642</v>
      </c>
      <c r="G142" s="10">
        <f>G141</f>
        <v>0</v>
      </c>
      <c r="H142" s="313">
        <f t="shared" ref="H142" si="77">H141</f>
        <v>0</v>
      </c>
      <c r="I142" s="337" t="e">
        <f t="shared" si="42"/>
        <v>#DIV/0!</v>
      </c>
    </row>
    <row r="143" spans="1:9" s="210" customFormat="1" ht="31.5" hidden="1" x14ac:dyDescent="0.25">
      <c r="A143" s="217" t="s">
        <v>1304</v>
      </c>
      <c r="B143" s="24" t="s">
        <v>1303</v>
      </c>
      <c r="C143" s="7"/>
      <c r="D143" s="7"/>
      <c r="E143" s="7"/>
      <c r="F143" s="7"/>
      <c r="G143" s="59">
        <f>G144</f>
        <v>0</v>
      </c>
      <c r="H143" s="325">
        <f t="shared" ref="H143" si="78">H144</f>
        <v>0</v>
      </c>
      <c r="I143" s="337" t="e">
        <f t="shared" si="42"/>
        <v>#DIV/0!</v>
      </c>
    </row>
    <row r="144" spans="1:9" s="210" customFormat="1" ht="15.75" hidden="1" x14ac:dyDescent="0.25">
      <c r="A144" s="45" t="s">
        <v>247</v>
      </c>
      <c r="B144" s="40" t="s">
        <v>1303</v>
      </c>
      <c r="C144" s="40" t="s">
        <v>165</v>
      </c>
      <c r="D144" s="40"/>
      <c r="E144" s="40"/>
      <c r="F144" s="40"/>
      <c r="G144" s="10">
        <f t="shared" ref="G144:H147" si="79">G145</f>
        <v>0</v>
      </c>
      <c r="H144" s="313">
        <f t="shared" si="79"/>
        <v>0</v>
      </c>
      <c r="I144" s="337" t="e">
        <f t="shared" si="42"/>
        <v>#DIV/0!</v>
      </c>
    </row>
    <row r="145" spans="1:9" s="210" customFormat="1" ht="15.75" hidden="1" x14ac:dyDescent="0.25">
      <c r="A145" s="45" t="s">
        <v>252</v>
      </c>
      <c r="B145" s="40" t="s">
        <v>1303</v>
      </c>
      <c r="C145" s="40" t="s">
        <v>165</v>
      </c>
      <c r="D145" s="40" t="s">
        <v>253</v>
      </c>
      <c r="E145" s="40"/>
      <c r="F145" s="40"/>
      <c r="G145" s="10">
        <f>G146</f>
        <v>0</v>
      </c>
      <c r="H145" s="313">
        <f t="shared" si="79"/>
        <v>0</v>
      </c>
      <c r="I145" s="337" t="e">
        <f t="shared" ref="I145:I208" si="80">H145/G145*100</f>
        <v>#DIV/0!</v>
      </c>
    </row>
    <row r="146" spans="1:9" s="210" customFormat="1" ht="31.5" hidden="1" x14ac:dyDescent="0.25">
      <c r="A146" s="239" t="s">
        <v>1305</v>
      </c>
      <c r="B146" s="20" t="s">
        <v>1352</v>
      </c>
      <c r="C146" s="40" t="s">
        <v>165</v>
      </c>
      <c r="D146" s="40" t="s">
        <v>253</v>
      </c>
      <c r="E146" s="40"/>
      <c r="F146" s="40"/>
      <c r="G146" s="10">
        <f>G147</f>
        <v>0</v>
      </c>
      <c r="H146" s="313">
        <f t="shared" si="79"/>
        <v>0</v>
      </c>
      <c r="I146" s="337" t="e">
        <f t="shared" si="80"/>
        <v>#DIV/0!</v>
      </c>
    </row>
    <row r="147" spans="1:9" s="210" customFormat="1" ht="31.5" hidden="1" x14ac:dyDescent="0.25">
      <c r="A147" s="25" t="s">
        <v>146</v>
      </c>
      <c r="B147" s="20" t="s">
        <v>1352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0</v>
      </c>
      <c r="H147" s="313">
        <f t="shared" si="79"/>
        <v>0</v>
      </c>
      <c r="I147" s="337" t="e">
        <f t="shared" si="80"/>
        <v>#DIV/0!</v>
      </c>
    </row>
    <row r="148" spans="1:9" s="210" customFormat="1" ht="31.5" hidden="1" x14ac:dyDescent="0.25">
      <c r="A148" s="25" t="s">
        <v>148</v>
      </c>
      <c r="B148" s="20" t="s">
        <v>1352</v>
      </c>
      <c r="C148" s="40" t="s">
        <v>165</v>
      </c>
      <c r="D148" s="40" t="s">
        <v>253</v>
      </c>
      <c r="E148" s="40" t="s">
        <v>149</v>
      </c>
      <c r="F148" s="40"/>
      <c r="G148" s="10">
        <f>'Пр.4 ведом.20'!G295</f>
        <v>0</v>
      </c>
      <c r="H148" s="313">
        <f>'Пр.4 ведом.20'!H295</f>
        <v>0</v>
      </c>
      <c r="I148" s="337" t="e">
        <f t="shared" si="80"/>
        <v>#DIV/0!</v>
      </c>
    </row>
    <row r="149" spans="1:9" s="210" customFormat="1" ht="47.25" hidden="1" x14ac:dyDescent="0.25">
      <c r="A149" s="45" t="s">
        <v>276</v>
      </c>
      <c r="B149" s="20" t="s">
        <v>1352</v>
      </c>
      <c r="C149" s="40" t="s">
        <v>165</v>
      </c>
      <c r="D149" s="40" t="s">
        <v>253</v>
      </c>
      <c r="E149" s="40" t="s">
        <v>149</v>
      </c>
      <c r="F149" s="9" t="s">
        <v>642</v>
      </c>
      <c r="G149" s="10">
        <f>G148</f>
        <v>0</v>
      </c>
      <c r="H149" s="313">
        <f t="shared" ref="H149" si="81">H148</f>
        <v>0</v>
      </c>
      <c r="I149" s="337" t="e">
        <f t="shared" si="80"/>
        <v>#DIV/0!</v>
      </c>
    </row>
    <row r="150" spans="1:9" ht="80.4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144.39999999999998</v>
      </c>
      <c r="H150" s="325">
        <f t="shared" ref="H150:H151" si="82">H151</f>
        <v>144.27000000000001</v>
      </c>
      <c r="I150" s="4">
        <f t="shared" si="80"/>
        <v>99.909972299168999</v>
      </c>
    </row>
    <row r="151" spans="1:9" s="210" customFormat="1" ht="59.25" customHeight="1" x14ac:dyDescent="0.25">
      <c r="A151" s="259" t="s">
        <v>1217</v>
      </c>
      <c r="B151" s="7" t="s">
        <v>931</v>
      </c>
      <c r="C151" s="7"/>
      <c r="D151" s="7"/>
      <c r="E151" s="7"/>
      <c r="F151" s="8"/>
      <c r="G151" s="59">
        <f>G152</f>
        <v>144.39999999999998</v>
      </c>
      <c r="H151" s="325">
        <f t="shared" si="82"/>
        <v>144.27000000000001</v>
      </c>
      <c r="I151" s="4">
        <f t="shared" si="80"/>
        <v>99.909972299168999</v>
      </c>
    </row>
    <row r="152" spans="1:9" ht="15.75" x14ac:dyDescent="0.25">
      <c r="A152" s="45" t="s">
        <v>132</v>
      </c>
      <c r="B152" s="40" t="s">
        <v>931</v>
      </c>
      <c r="C152" s="40" t="s">
        <v>133</v>
      </c>
      <c r="D152" s="40"/>
      <c r="E152" s="40"/>
      <c r="F152" s="9"/>
      <c r="G152" s="10">
        <f t="shared" ref="G152:H155" si="83">G153</f>
        <v>144.39999999999998</v>
      </c>
      <c r="H152" s="313">
        <f t="shared" si="83"/>
        <v>144.27000000000001</v>
      </c>
      <c r="I152" s="337">
        <f t="shared" si="80"/>
        <v>99.909972299168999</v>
      </c>
    </row>
    <row r="153" spans="1:9" ht="21.2" customHeight="1" x14ac:dyDescent="0.25">
      <c r="A153" s="45" t="s">
        <v>154</v>
      </c>
      <c r="B153" s="40" t="s">
        <v>931</v>
      </c>
      <c r="C153" s="40" t="s">
        <v>133</v>
      </c>
      <c r="D153" s="40" t="s">
        <v>155</v>
      </c>
      <c r="E153" s="40"/>
      <c r="F153" s="9"/>
      <c r="G153" s="10">
        <f>G154+G158</f>
        <v>144.39999999999998</v>
      </c>
      <c r="H153" s="313">
        <f t="shared" ref="H153" si="84">H154+H158</f>
        <v>144.27000000000001</v>
      </c>
      <c r="I153" s="337">
        <f t="shared" si="80"/>
        <v>99.909972299168999</v>
      </c>
    </row>
    <row r="154" spans="1:9" ht="31.5" x14ac:dyDescent="0.25">
      <c r="A154" s="99" t="s">
        <v>1218</v>
      </c>
      <c r="B154" s="40" t="s">
        <v>932</v>
      </c>
      <c r="C154" s="40" t="s">
        <v>133</v>
      </c>
      <c r="D154" s="40" t="s">
        <v>155</v>
      </c>
      <c r="E154" s="40"/>
      <c r="F154" s="9"/>
      <c r="G154" s="10">
        <f t="shared" si="83"/>
        <v>144.39999999999998</v>
      </c>
      <c r="H154" s="313">
        <f t="shared" si="83"/>
        <v>144.27000000000001</v>
      </c>
      <c r="I154" s="337">
        <f t="shared" si="80"/>
        <v>99.909972299168999</v>
      </c>
    </row>
    <row r="155" spans="1:9" ht="31.5" x14ac:dyDescent="0.25">
      <c r="A155" s="29" t="s">
        <v>146</v>
      </c>
      <c r="B155" s="40" t="s">
        <v>932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83"/>
        <v>144.39999999999998</v>
      </c>
      <c r="H155" s="313">
        <f t="shared" si="83"/>
        <v>144.27000000000001</v>
      </c>
      <c r="I155" s="337">
        <f t="shared" si="80"/>
        <v>99.909972299168999</v>
      </c>
    </row>
    <row r="156" spans="1:9" ht="31.5" x14ac:dyDescent="0.25">
      <c r="A156" s="29" t="s">
        <v>148</v>
      </c>
      <c r="B156" s="40" t="s">
        <v>932</v>
      </c>
      <c r="C156" s="40" t="s">
        <v>133</v>
      </c>
      <c r="D156" s="40" t="s">
        <v>155</v>
      </c>
      <c r="E156" s="40" t="s">
        <v>149</v>
      </c>
      <c r="F156" s="9"/>
      <c r="G156" s="10">
        <f>'Пр.3 Рд,пр, ЦС,ВР 20'!F192</f>
        <v>144.39999999999998</v>
      </c>
      <c r="H156" s="313">
        <f>'Пр.3 Рд,пр, ЦС,ВР 20'!G192</f>
        <v>144.27000000000001</v>
      </c>
      <c r="I156" s="337">
        <f t="shared" si="80"/>
        <v>99.909972299168999</v>
      </c>
    </row>
    <row r="157" spans="1:9" s="210" customFormat="1" ht="47.25" x14ac:dyDescent="0.25">
      <c r="A157" s="45" t="s">
        <v>276</v>
      </c>
      <c r="B157" s="40" t="s">
        <v>932</v>
      </c>
      <c r="C157" s="40" t="s">
        <v>133</v>
      </c>
      <c r="D157" s="40" t="s">
        <v>155</v>
      </c>
      <c r="E157" s="40" t="s">
        <v>149</v>
      </c>
      <c r="F157" s="9" t="s">
        <v>642</v>
      </c>
      <c r="G157" s="10">
        <f>G156</f>
        <v>144.39999999999998</v>
      </c>
      <c r="H157" s="313">
        <f t="shared" ref="H157" si="85">H156</f>
        <v>144.27000000000001</v>
      </c>
      <c r="I157" s="337">
        <f t="shared" si="80"/>
        <v>99.909972299168999</v>
      </c>
    </row>
    <row r="158" spans="1:9" s="210" customFormat="1" ht="47.25" hidden="1" x14ac:dyDescent="0.25">
      <c r="A158" s="35" t="s">
        <v>934</v>
      </c>
      <c r="B158" s="20" t="s">
        <v>933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313">
        <f t="shared" ref="H158:H159" si="86">H159</f>
        <v>0</v>
      </c>
      <c r="I158" s="337" t="e">
        <f t="shared" si="80"/>
        <v>#DIV/0!</v>
      </c>
    </row>
    <row r="159" spans="1:9" s="210" customFormat="1" ht="31.5" hidden="1" x14ac:dyDescent="0.25">
      <c r="A159" s="25" t="s">
        <v>146</v>
      </c>
      <c r="B159" s="20" t="s">
        <v>933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313">
        <f t="shared" si="86"/>
        <v>0</v>
      </c>
      <c r="I159" s="337" t="e">
        <f t="shared" si="80"/>
        <v>#DIV/0!</v>
      </c>
    </row>
    <row r="160" spans="1:9" s="210" customFormat="1" ht="31.5" hidden="1" x14ac:dyDescent="0.25">
      <c r="A160" s="25" t="s">
        <v>148</v>
      </c>
      <c r="B160" s="20" t="s">
        <v>933</v>
      </c>
      <c r="C160" s="40" t="s">
        <v>133</v>
      </c>
      <c r="D160" s="40" t="s">
        <v>155</v>
      </c>
      <c r="E160" s="40" t="s">
        <v>149</v>
      </c>
      <c r="F160" s="9"/>
      <c r="G160" s="10">
        <f>'Пр.3 Рд,пр, ЦС,ВР 20'!F195</f>
        <v>0</v>
      </c>
      <c r="H160" s="313">
        <f>'Пр.3 Рд,пр, ЦС,ВР 20'!G195</f>
        <v>0</v>
      </c>
      <c r="I160" s="337" t="e">
        <f t="shared" si="80"/>
        <v>#DIV/0!</v>
      </c>
    </row>
    <row r="161" spans="1:9" ht="47.25" hidden="1" x14ac:dyDescent="0.25">
      <c r="A161" s="45" t="s">
        <v>276</v>
      </c>
      <c r="B161" s="20" t="s">
        <v>933</v>
      </c>
      <c r="C161" s="40" t="s">
        <v>133</v>
      </c>
      <c r="D161" s="40" t="s">
        <v>155</v>
      </c>
      <c r="E161" s="40" t="s">
        <v>149</v>
      </c>
      <c r="F161" s="9" t="s">
        <v>642</v>
      </c>
      <c r="G161" s="10">
        <f>G160</f>
        <v>0</v>
      </c>
      <c r="H161" s="313">
        <f t="shared" ref="H161" si="87">H160</f>
        <v>0</v>
      </c>
      <c r="I161" s="337" t="e">
        <f t="shared" si="80"/>
        <v>#DIV/0!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G163+G262+G315+G423+G442</f>
        <v>334146.29600000009</v>
      </c>
      <c r="H162" s="325">
        <f t="shared" ref="H162" si="88">H163+H262+H315+H423+H442</f>
        <v>314667.21773999993</v>
      </c>
      <c r="I162" s="4">
        <f t="shared" si="80"/>
        <v>94.170494034146003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302247.92300000007</v>
      </c>
      <c r="H163" s="325">
        <f t="shared" ref="H163" si="89">H164+H193</f>
        <v>287755.14721999998</v>
      </c>
      <c r="I163" s="4">
        <f t="shared" si="80"/>
        <v>95.205004012550305</v>
      </c>
    </row>
    <row r="164" spans="1:9" s="210" customFormat="1" ht="31.5" x14ac:dyDescent="0.25">
      <c r="A164" s="23" t="s">
        <v>1026</v>
      </c>
      <c r="B164" s="24" t="s">
        <v>1004</v>
      </c>
      <c r="C164" s="7"/>
      <c r="D164" s="7"/>
      <c r="E164" s="7"/>
      <c r="F164" s="7"/>
      <c r="G164" s="59">
        <f>G165</f>
        <v>74067.951570000005</v>
      </c>
      <c r="H164" s="325">
        <f t="shared" ref="H164" si="90">H165</f>
        <v>74014.374670000005</v>
      </c>
      <c r="I164" s="4">
        <f t="shared" si="80"/>
        <v>99.927665206254062</v>
      </c>
    </row>
    <row r="165" spans="1:9" ht="15.75" x14ac:dyDescent="0.25">
      <c r="A165" s="29" t="s">
        <v>278</v>
      </c>
      <c r="B165" s="40" t="s">
        <v>1004</v>
      </c>
      <c r="C165" s="40" t="s">
        <v>279</v>
      </c>
      <c r="D165" s="40"/>
      <c r="E165" s="40"/>
      <c r="F165" s="40"/>
      <c r="G165" s="10">
        <f>G166+G175+G188</f>
        <v>74067.951570000005</v>
      </c>
      <c r="H165" s="313">
        <f t="shared" ref="H165" si="91">H166+H175+H188</f>
        <v>74014.374670000005</v>
      </c>
      <c r="I165" s="337">
        <f t="shared" si="80"/>
        <v>99.927665206254062</v>
      </c>
    </row>
    <row r="166" spans="1:9" ht="15.75" x14ac:dyDescent="0.25">
      <c r="A166" s="45" t="s">
        <v>419</v>
      </c>
      <c r="B166" s="40" t="s">
        <v>1004</v>
      </c>
      <c r="C166" s="40" t="s">
        <v>279</v>
      </c>
      <c r="D166" s="40" t="s">
        <v>133</v>
      </c>
      <c r="E166" s="40"/>
      <c r="F166" s="40"/>
      <c r="G166" s="10">
        <f>G167+G171</f>
        <v>13348.969999999998</v>
      </c>
      <c r="H166" s="313">
        <f t="shared" ref="H166" si="92">H167+H171</f>
        <v>13316.200670000002</v>
      </c>
      <c r="I166" s="337">
        <f t="shared" si="80"/>
        <v>99.754517914116263</v>
      </c>
    </row>
    <row r="167" spans="1:9" ht="47.25" x14ac:dyDescent="0.25">
      <c r="A167" s="25" t="s">
        <v>1061</v>
      </c>
      <c r="B167" s="20" t="s">
        <v>1060</v>
      </c>
      <c r="C167" s="40" t="s">
        <v>279</v>
      </c>
      <c r="D167" s="40" t="s">
        <v>133</v>
      </c>
      <c r="E167" s="40"/>
      <c r="F167" s="40"/>
      <c r="G167" s="10">
        <f t="shared" ref="G167:H168" si="93">G168</f>
        <v>9226.4039999999986</v>
      </c>
      <c r="H167" s="313">
        <f t="shared" si="93"/>
        <v>9202.5040000000008</v>
      </c>
      <c r="I167" s="337">
        <f t="shared" si="80"/>
        <v>99.740960833711625</v>
      </c>
    </row>
    <row r="168" spans="1:9" ht="31.5" x14ac:dyDescent="0.25">
      <c r="A168" s="25" t="s">
        <v>287</v>
      </c>
      <c r="B168" s="20" t="s">
        <v>1060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93"/>
        <v>9226.4039999999986</v>
      </c>
      <c r="H168" s="313">
        <f t="shared" si="93"/>
        <v>9202.5040000000008</v>
      </c>
      <c r="I168" s="337">
        <f t="shared" si="80"/>
        <v>99.740960833711625</v>
      </c>
    </row>
    <row r="169" spans="1:9" ht="15.75" x14ac:dyDescent="0.25">
      <c r="A169" s="25" t="s">
        <v>289</v>
      </c>
      <c r="B169" s="20" t="s">
        <v>1060</v>
      </c>
      <c r="C169" s="40" t="s">
        <v>279</v>
      </c>
      <c r="D169" s="40" t="s">
        <v>133</v>
      </c>
      <c r="E169" s="40" t="s">
        <v>290</v>
      </c>
      <c r="F169" s="40"/>
      <c r="G169" s="6">
        <f>'Пр.3 Рд,пр, ЦС,ВР 20'!F537</f>
        <v>9226.4039999999986</v>
      </c>
      <c r="H169" s="337">
        <f>'Пр.3 Рд,пр, ЦС,ВР 20'!G537</f>
        <v>9202.5040000000008</v>
      </c>
      <c r="I169" s="337">
        <f t="shared" si="80"/>
        <v>99.740960833711625</v>
      </c>
    </row>
    <row r="170" spans="1:9" s="210" customFormat="1" ht="31.5" x14ac:dyDescent="0.25">
      <c r="A170" s="29" t="s">
        <v>418</v>
      </c>
      <c r="B170" s="20" t="s">
        <v>1060</v>
      </c>
      <c r="C170" s="40" t="s">
        <v>279</v>
      </c>
      <c r="D170" s="40" t="s">
        <v>133</v>
      </c>
      <c r="E170" s="40" t="s">
        <v>290</v>
      </c>
      <c r="F170" s="40" t="s">
        <v>651</v>
      </c>
      <c r="G170" s="10">
        <f>G169</f>
        <v>9226.4039999999986</v>
      </c>
      <c r="H170" s="313">
        <f t="shared" ref="H170" si="94">H169</f>
        <v>9202.5040000000008</v>
      </c>
      <c r="I170" s="337">
        <f t="shared" si="80"/>
        <v>99.740960833711625</v>
      </c>
    </row>
    <row r="171" spans="1:9" s="210" customFormat="1" ht="47.25" x14ac:dyDescent="0.25">
      <c r="A171" s="25" t="s">
        <v>1236</v>
      </c>
      <c r="B171" s="20" t="s">
        <v>1062</v>
      </c>
      <c r="C171" s="40" t="s">
        <v>279</v>
      </c>
      <c r="D171" s="40" t="s">
        <v>133</v>
      </c>
      <c r="E171" s="40"/>
      <c r="F171" s="40"/>
      <c r="G171" s="6">
        <f>G172</f>
        <v>4122.5659999999998</v>
      </c>
      <c r="H171" s="337">
        <f t="shared" ref="H171:H172" si="95">H172</f>
        <v>4113.6966700000003</v>
      </c>
      <c r="I171" s="337">
        <f t="shared" si="80"/>
        <v>99.784858993161066</v>
      </c>
    </row>
    <row r="172" spans="1:9" s="210" customFormat="1" ht="31.5" x14ac:dyDescent="0.25">
      <c r="A172" s="25" t="s">
        <v>287</v>
      </c>
      <c r="B172" s="20" t="s">
        <v>1062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4122.5659999999998</v>
      </c>
      <c r="H172" s="337">
        <f t="shared" si="95"/>
        <v>4113.6966700000003</v>
      </c>
      <c r="I172" s="337">
        <f t="shared" si="80"/>
        <v>99.784858993161066</v>
      </c>
    </row>
    <row r="173" spans="1:9" s="210" customFormat="1" ht="15.75" x14ac:dyDescent="0.25">
      <c r="A173" s="25" t="s">
        <v>289</v>
      </c>
      <c r="B173" s="20" t="s">
        <v>1062</v>
      </c>
      <c r="C173" s="40" t="s">
        <v>279</v>
      </c>
      <c r="D173" s="40" t="s">
        <v>133</v>
      </c>
      <c r="E173" s="40" t="s">
        <v>290</v>
      </c>
      <c r="F173" s="40"/>
      <c r="G173" s="6">
        <f>'Пр.3 Рд,пр, ЦС,ВР 20'!F540</f>
        <v>4122.5659999999998</v>
      </c>
      <c r="H173" s="337">
        <f>'Пр.3 Рд,пр, ЦС,ВР 20'!G540</f>
        <v>4113.6966700000003</v>
      </c>
      <c r="I173" s="337">
        <f t="shared" si="80"/>
        <v>99.784858993161066</v>
      </c>
    </row>
    <row r="174" spans="1:9" s="210" customFormat="1" ht="31.5" x14ac:dyDescent="0.25">
      <c r="A174" s="29" t="s">
        <v>418</v>
      </c>
      <c r="B174" s="20" t="s">
        <v>1062</v>
      </c>
      <c r="C174" s="40" t="s">
        <v>279</v>
      </c>
      <c r="D174" s="40" t="s">
        <v>133</v>
      </c>
      <c r="E174" s="40" t="s">
        <v>290</v>
      </c>
      <c r="F174" s="40" t="s">
        <v>651</v>
      </c>
      <c r="G174" s="10">
        <f>G173</f>
        <v>4122.5659999999998</v>
      </c>
      <c r="H174" s="313">
        <f t="shared" ref="H174" si="96">H173</f>
        <v>4113.6966700000003</v>
      </c>
      <c r="I174" s="337">
        <f t="shared" si="80"/>
        <v>99.784858993161066</v>
      </c>
    </row>
    <row r="175" spans="1:9" s="210" customFormat="1" ht="15.75" x14ac:dyDescent="0.25">
      <c r="A175" s="29" t="s">
        <v>440</v>
      </c>
      <c r="B175" s="40" t="s">
        <v>1004</v>
      </c>
      <c r="C175" s="40" t="s">
        <v>279</v>
      </c>
      <c r="D175" s="40" t="s">
        <v>228</v>
      </c>
      <c r="E175" s="40"/>
      <c r="F175" s="40"/>
      <c r="G175" s="10">
        <f>G176+G180+G184</f>
        <v>27051.48157</v>
      </c>
      <c r="H175" s="313">
        <f t="shared" ref="H175" si="97">H176+H180+H184</f>
        <v>27030.673999999999</v>
      </c>
      <c r="I175" s="337">
        <f t="shared" si="80"/>
        <v>99.923081588170476</v>
      </c>
    </row>
    <row r="176" spans="1:9" s="210" customFormat="1" ht="47.25" x14ac:dyDescent="0.25">
      <c r="A176" s="25" t="s">
        <v>1450</v>
      </c>
      <c r="B176" s="20" t="s">
        <v>1063</v>
      </c>
      <c r="C176" s="40" t="s">
        <v>279</v>
      </c>
      <c r="D176" s="40" t="s">
        <v>228</v>
      </c>
      <c r="E176" s="40"/>
      <c r="F176" s="40"/>
      <c r="G176" s="10">
        <f t="shared" ref="G176:H177" si="98">G177</f>
        <v>9301.4285700000019</v>
      </c>
      <c r="H176" s="313">
        <f t="shared" si="98"/>
        <v>9287.3289999999997</v>
      </c>
      <c r="I176" s="337">
        <f t="shared" si="80"/>
        <v>99.848415005352209</v>
      </c>
    </row>
    <row r="177" spans="1:9" s="210" customFormat="1" ht="31.5" x14ac:dyDescent="0.25">
      <c r="A177" s="25" t="s">
        <v>287</v>
      </c>
      <c r="B177" s="20" t="s">
        <v>1063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98"/>
        <v>9301.4285700000019</v>
      </c>
      <c r="H177" s="313">
        <f t="shared" si="98"/>
        <v>9287.3289999999997</v>
      </c>
      <c r="I177" s="337">
        <f t="shared" si="80"/>
        <v>99.848415005352209</v>
      </c>
    </row>
    <row r="178" spans="1:9" s="210" customFormat="1" ht="15.75" x14ac:dyDescent="0.25">
      <c r="A178" s="25" t="s">
        <v>289</v>
      </c>
      <c r="B178" s="20" t="s">
        <v>1063</v>
      </c>
      <c r="C178" s="40" t="s">
        <v>279</v>
      </c>
      <c r="D178" s="40" t="s">
        <v>228</v>
      </c>
      <c r="E178" s="40" t="s">
        <v>290</v>
      </c>
      <c r="F178" s="40"/>
      <c r="G178" s="6">
        <f>'Пр.3 Рд,пр, ЦС,ВР 20'!F608</f>
        <v>9301.4285700000019</v>
      </c>
      <c r="H178" s="337">
        <f>'Пр.3 Рд,пр, ЦС,ВР 20'!G608</f>
        <v>9287.3289999999997</v>
      </c>
      <c r="I178" s="337">
        <f t="shared" si="80"/>
        <v>99.848415005352209</v>
      </c>
    </row>
    <row r="179" spans="1:9" s="210" customFormat="1" ht="31.5" x14ac:dyDescent="0.25">
      <c r="A179" s="29" t="s">
        <v>418</v>
      </c>
      <c r="B179" s="20" t="s">
        <v>1063</v>
      </c>
      <c r="C179" s="40" t="s">
        <v>279</v>
      </c>
      <c r="D179" s="40" t="s">
        <v>228</v>
      </c>
      <c r="E179" s="40" t="s">
        <v>290</v>
      </c>
      <c r="F179" s="40" t="s">
        <v>651</v>
      </c>
      <c r="G179" s="10">
        <f>G178</f>
        <v>9301.4285700000019</v>
      </c>
      <c r="H179" s="313">
        <f t="shared" ref="H179" si="99">H178</f>
        <v>9287.3289999999997</v>
      </c>
      <c r="I179" s="337">
        <f t="shared" si="80"/>
        <v>99.848415005352209</v>
      </c>
    </row>
    <row r="180" spans="1:9" s="210" customFormat="1" ht="47.25" x14ac:dyDescent="0.25">
      <c r="A180" s="25" t="s">
        <v>1067</v>
      </c>
      <c r="B180" s="20" t="s">
        <v>1064</v>
      </c>
      <c r="C180" s="40" t="s">
        <v>279</v>
      </c>
      <c r="D180" s="40" t="s">
        <v>228</v>
      </c>
      <c r="E180" s="40"/>
      <c r="F180" s="40"/>
      <c r="G180" s="6">
        <f>G181</f>
        <v>11361.7</v>
      </c>
      <c r="H180" s="337">
        <f t="shared" ref="H180:H181" si="100">H181</f>
        <v>11355</v>
      </c>
      <c r="I180" s="337">
        <f t="shared" si="80"/>
        <v>99.941029951503737</v>
      </c>
    </row>
    <row r="181" spans="1:9" s="210" customFormat="1" ht="31.5" x14ac:dyDescent="0.25">
      <c r="A181" s="25" t="s">
        <v>287</v>
      </c>
      <c r="B181" s="20" t="s">
        <v>1064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11361.7</v>
      </c>
      <c r="H181" s="337">
        <f t="shared" si="100"/>
        <v>11355</v>
      </c>
      <c r="I181" s="337">
        <f t="shared" si="80"/>
        <v>99.941029951503737</v>
      </c>
    </row>
    <row r="182" spans="1:9" s="210" customFormat="1" ht="15.75" x14ac:dyDescent="0.25">
      <c r="A182" s="25" t="s">
        <v>289</v>
      </c>
      <c r="B182" s="20" t="s">
        <v>1064</v>
      </c>
      <c r="C182" s="40" t="s">
        <v>279</v>
      </c>
      <c r="D182" s="40" t="s">
        <v>228</v>
      </c>
      <c r="E182" s="40" t="s">
        <v>290</v>
      </c>
      <c r="F182" s="40"/>
      <c r="G182" s="6">
        <f>'Пр.3 Рд,пр, ЦС,ВР 20'!F611</f>
        <v>11361.7</v>
      </c>
      <c r="H182" s="337">
        <f>'Пр.3 Рд,пр, ЦС,ВР 20'!G611</f>
        <v>11355</v>
      </c>
      <c r="I182" s="337">
        <f t="shared" si="80"/>
        <v>99.941029951503737</v>
      </c>
    </row>
    <row r="183" spans="1:9" s="210" customFormat="1" ht="31.5" x14ac:dyDescent="0.25">
      <c r="A183" s="29" t="s">
        <v>418</v>
      </c>
      <c r="B183" s="20" t="s">
        <v>1064</v>
      </c>
      <c r="C183" s="40" t="s">
        <v>279</v>
      </c>
      <c r="D183" s="40" t="s">
        <v>228</v>
      </c>
      <c r="E183" s="40" t="s">
        <v>290</v>
      </c>
      <c r="F183" s="40" t="s">
        <v>651</v>
      </c>
      <c r="G183" s="10">
        <f>G182</f>
        <v>11361.7</v>
      </c>
      <c r="H183" s="313">
        <f t="shared" ref="H183" si="101">H182</f>
        <v>11355</v>
      </c>
      <c r="I183" s="337">
        <f t="shared" si="80"/>
        <v>99.941029951503737</v>
      </c>
    </row>
    <row r="184" spans="1:9" s="210" customFormat="1" ht="47.25" x14ac:dyDescent="0.25">
      <c r="A184" s="25" t="s">
        <v>1068</v>
      </c>
      <c r="B184" s="20" t="s">
        <v>1065</v>
      </c>
      <c r="C184" s="40" t="s">
        <v>279</v>
      </c>
      <c r="D184" s="40" t="s">
        <v>228</v>
      </c>
      <c r="E184" s="40"/>
      <c r="F184" s="40"/>
      <c r="G184" s="6">
        <f>G185</f>
        <v>6388.3530000000001</v>
      </c>
      <c r="H184" s="337">
        <f t="shared" ref="H184:H185" si="102">H185</f>
        <v>6388.3450000000003</v>
      </c>
      <c r="I184" s="337">
        <f t="shared" si="80"/>
        <v>99.999874772104803</v>
      </c>
    </row>
    <row r="185" spans="1:9" s="210" customFormat="1" ht="31.5" x14ac:dyDescent="0.25">
      <c r="A185" s="25" t="s">
        <v>287</v>
      </c>
      <c r="B185" s="20" t="s">
        <v>1065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6388.3530000000001</v>
      </c>
      <c r="H185" s="337">
        <f t="shared" si="102"/>
        <v>6388.3450000000003</v>
      </c>
      <c r="I185" s="337">
        <f t="shared" si="80"/>
        <v>99.999874772104803</v>
      </c>
    </row>
    <row r="186" spans="1:9" s="210" customFormat="1" ht="15.75" x14ac:dyDescent="0.25">
      <c r="A186" s="25" t="s">
        <v>289</v>
      </c>
      <c r="B186" s="20" t="s">
        <v>1065</v>
      </c>
      <c r="C186" s="40" t="s">
        <v>279</v>
      </c>
      <c r="D186" s="40" t="s">
        <v>228</v>
      </c>
      <c r="E186" s="40" t="s">
        <v>290</v>
      </c>
      <c r="F186" s="40"/>
      <c r="G186" s="6">
        <f>'Пр.3 Рд,пр, ЦС,ВР 20'!F614</f>
        <v>6388.3530000000001</v>
      </c>
      <c r="H186" s="337">
        <f>'Пр.3 Рд,пр, ЦС,ВР 20'!G614</f>
        <v>6388.3450000000003</v>
      </c>
      <c r="I186" s="337">
        <f t="shared" si="80"/>
        <v>99.999874772104803</v>
      </c>
    </row>
    <row r="187" spans="1:9" s="210" customFormat="1" ht="31.5" x14ac:dyDescent="0.25">
      <c r="A187" s="29" t="s">
        <v>418</v>
      </c>
      <c r="B187" s="20" t="s">
        <v>1065</v>
      </c>
      <c r="C187" s="40" t="s">
        <v>279</v>
      </c>
      <c r="D187" s="40" t="s">
        <v>228</v>
      </c>
      <c r="E187" s="40" t="s">
        <v>290</v>
      </c>
      <c r="F187" s="40" t="s">
        <v>651</v>
      </c>
      <c r="G187" s="10">
        <f>G186</f>
        <v>6388.3530000000001</v>
      </c>
      <c r="H187" s="313">
        <f t="shared" ref="H187" si="103">H186</f>
        <v>6388.3450000000003</v>
      </c>
      <c r="I187" s="337">
        <f t="shared" si="80"/>
        <v>99.999874772104803</v>
      </c>
    </row>
    <row r="188" spans="1:9" s="210" customFormat="1" ht="15.75" x14ac:dyDescent="0.25">
      <c r="A188" s="29" t="s">
        <v>280</v>
      </c>
      <c r="B188" s="40" t="s">
        <v>1004</v>
      </c>
      <c r="C188" s="40" t="s">
        <v>279</v>
      </c>
      <c r="D188" s="40" t="s">
        <v>230</v>
      </c>
      <c r="E188" s="40"/>
      <c r="F188" s="40"/>
      <c r="G188" s="6">
        <f t="shared" ref="G188:H188" si="104">G189</f>
        <v>33667.5</v>
      </c>
      <c r="H188" s="337">
        <f t="shared" si="104"/>
        <v>33667.5</v>
      </c>
      <c r="I188" s="337">
        <f t="shared" si="80"/>
        <v>100</v>
      </c>
    </row>
    <row r="189" spans="1:9" s="210" customFormat="1" ht="47.25" x14ac:dyDescent="0.25">
      <c r="A189" s="29" t="s">
        <v>285</v>
      </c>
      <c r="B189" s="20" t="s">
        <v>1049</v>
      </c>
      <c r="C189" s="40" t="s">
        <v>279</v>
      </c>
      <c r="D189" s="40" t="s">
        <v>230</v>
      </c>
      <c r="E189" s="7"/>
      <c r="F189" s="7"/>
      <c r="G189" s="10">
        <f t="shared" ref="G189:H190" si="105">G190</f>
        <v>33667.5</v>
      </c>
      <c r="H189" s="313">
        <f t="shared" si="105"/>
        <v>33667.5</v>
      </c>
      <c r="I189" s="337">
        <f t="shared" si="80"/>
        <v>100</v>
      </c>
    </row>
    <row r="190" spans="1:9" s="210" customFormat="1" ht="31.5" x14ac:dyDescent="0.25">
      <c r="A190" s="29" t="s">
        <v>287</v>
      </c>
      <c r="B190" s="20" t="s">
        <v>1049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105"/>
        <v>33667.5</v>
      </c>
      <c r="H190" s="313">
        <f t="shared" si="105"/>
        <v>33667.5</v>
      </c>
      <c r="I190" s="337">
        <f t="shared" si="80"/>
        <v>100</v>
      </c>
    </row>
    <row r="191" spans="1:9" s="210" customFormat="1" ht="15.75" x14ac:dyDescent="0.25">
      <c r="A191" s="29" t="s">
        <v>289</v>
      </c>
      <c r="B191" s="20" t="s">
        <v>1049</v>
      </c>
      <c r="C191" s="40" t="s">
        <v>279</v>
      </c>
      <c r="D191" s="40" t="s">
        <v>230</v>
      </c>
      <c r="E191" s="40" t="s">
        <v>290</v>
      </c>
      <c r="F191" s="40"/>
      <c r="G191" s="6">
        <f>'Пр.3 Рд,пр, ЦС,ВР 20'!F723</f>
        <v>33667.5</v>
      </c>
      <c r="H191" s="337">
        <f>'Пр.3 Рд,пр, ЦС,ВР 20'!G723</f>
        <v>33667.5</v>
      </c>
      <c r="I191" s="337">
        <f t="shared" si="80"/>
        <v>100</v>
      </c>
    </row>
    <row r="192" spans="1:9" s="210" customFormat="1" ht="31.5" x14ac:dyDescent="0.25">
      <c r="A192" s="29" t="s">
        <v>418</v>
      </c>
      <c r="B192" s="20" t="s">
        <v>1049</v>
      </c>
      <c r="C192" s="40" t="s">
        <v>279</v>
      </c>
      <c r="D192" s="40" t="s">
        <v>230</v>
      </c>
      <c r="E192" s="40" t="s">
        <v>290</v>
      </c>
      <c r="F192" s="40" t="s">
        <v>651</v>
      </c>
      <c r="G192" s="10">
        <f>G191</f>
        <v>33667.5</v>
      </c>
      <c r="H192" s="313">
        <f t="shared" ref="H192" si="106">H191</f>
        <v>33667.5</v>
      </c>
      <c r="I192" s="337">
        <f t="shared" si="80"/>
        <v>100</v>
      </c>
    </row>
    <row r="193" spans="1:9" s="210" customFormat="1" ht="47.25" x14ac:dyDescent="0.25">
      <c r="A193" s="23" t="s">
        <v>969</v>
      </c>
      <c r="B193" s="24" t="s">
        <v>1019</v>
      </c>
      <c r="C193" s="7"/>
      <c r="D193" s="7"/>
      <c r="E193" s="7"/>
      <c r="F193" s="7"/>
      <c r="G193" s="4">
        <f>G194</f>
        <v>228179.97143000003</v>
      </c>
      <c r="H193" s="4">
        <f t="shared" ref="H193" si="107">H194</f>
        <v>213740.77254999997</v>
      </c>
      <c r="I193" s="4">
        <f t="shared" si="80"/>
        <v>93.672013021340192</v>
      </c>
    </row>
    <row r="194" spans="1:9" s="210" customFormat="1" ht="15.75" x14ac:dyDescent="0.25">
      <c r="A194" s="29" t="s">
        <v>278</v>
      </c>
      <c r="B194" s="40" t="s">
        <v>1019</v>
      </c>
      <c r="C194" s="40" t="s">
        <v>279</v>
      </c>
      <c r="D194" s="40"/>
      <c r="E194" s="40"/>
      <c r="F194" s="40"/>
      <c r="G194" s="10">
        <f>G195+G216+G245</f>
        <v>228179.97143000003</v>
      </c>
      <c r="H194" s="313">
        <f t="shared" ref="H194" si="108">H195+H216+H245</f>
        <v>213740.77254999997</v>
      </c>
      <c r="I194" s="337">
        <f t="shared" si="80"/>
        <v>93.672013021340192</v>
      </c>
    </row>
    <row r="195" spans="1:9" s="210" customFormat="1" ht="15.75" x14ac:dyDescent="0.25">
      <c r="A195" s="45" t="s">
        <v>419</v>
      </c>
      <c r="B195" s="40" t="s">
        <v>1019</v>
      </c>
      <c r="C195" s="40" t="s">
        <v>279</v>
      </c>
      <c r="D195" s="40" t="s">
        <v>133</v>
      </c>
      <c r="E195" s="40"/>
      <c r="F195" s="40"/>
      <c r="G195" s="10">
        <f>G200+G204+G208+G212+G196</f>
        <v>86357.099999999991</v>
      </c>
      <c r="H195" s="313">
        <f t="shared" ref="H195" si="109">H200+H204+H208+H212+H196</f>
        <v>79638.93303</v>
      </c>
      <c r="I195" s="337">
        <f t="shared" si="80"/>
        <v>92.220481037459578</v>
      </c>
    </row>
    <row r="196" spans="1:9" s="309" customFormat="1" ht="94.5" x14ac:dyDescent="0.25">
      <c r="A196" s="31" t="s">
        <v>308</v>
      </c>
      <c r="B196" s="316" t="s">
        <v>1507</v>
      </c>
      <c r="C196" s="324" t="s">
        <v>279</v>
      </c>
      <c r="D196" s="324" t="s">
        <v>133</v>
      </c>
      <c r="E196" s="324"/>
      <c r="F196" s="324"/>
      <c r="G196" s="313">
        <f>G197</f>
        <v>2482.6999999999998</v>
      </c>
      <c r="H196" s="313">
        <f t="shared" ref="H196:H197" si="110">H197</f>
        <v>2482.6999999999998</v>
      </c>
      <c r="I196" s="337">
        <f t="shared" si="80"/>
        <v>100</v>
      </c>
    </row>
    <row r="197" spans="1:9" s="309" customFormat="1" ht="31.5" x14ac:dyDescent="0.25">
      <c r="A197" s="320" t="s">
        <v>287</v>
      </c>
      <c r="B197" s="316" t="s">
        <v>1507</v>
      </c>
      <c r="C197" s="324" t="s">
        <v>279</v>
      </c>
      <c r="D197" s="324" t="s">
        <v>133</v>
      </c>
      <c r="E197" s="324" t="s">
        <v>288</v>
      </c>
      <c r="F197" s="324"/>
      <c r="G197" s="313">
        <f>G198</f>
        <v>2482.6999999999998</v>
      </c>
      <c r="H197" s="313">
        <f t="shared" si="110"/>
        <v>2482.6999999999998</v>
      </c>
      <c r="I197" s="337">
        <f t="shared" si="80"/>
        <v>100</v>
      </c>
    </row>
    <row r="198" spans="1:9" s="309" customFormat="1" ht="15.75" x14ac:dyDescent="0.25">
      <c r="A198" s="320" t="s">
        <v>289</v>
      </c>
      <c r="B198" s="316" t="s">
        <v>1507</v>
      </c>
      <c r="C198" s="324" t="s">
        <v>279</v>
      </c>
      <c r="D198" s="324" t="s">
        <v>133</v>
      </c>
      <c r="E198" s="324" t="s">
        <v>290</v>
      </c>
      <c r="F198" s="324"/>
      <c r="G198" s="313">
        <f>'Пр.4 ведом.20'!G599</f>
        <v>2482.6999999999998</v>
      </c>
      <c r="H198" s="313">
        <f>'Пр.4 ведом.20'!H599</f>
        <v>2482.6999999999998</v>
      </c>
      <c r="I198" s="337">
        <f t="shared" si="80"/>
        <v>100</v>
      </c>
    </row>
    <row r="199" spans="1:9" s="309" customFormat="1" ht="31.5" x14ac:dyDescent="0.25">
      <c r="A199" s="323" t="s">
        <v>418</v>
      </c>
      <c r="B199" s="324"/>
      <c r="C199" s="324" t="s">
        <v>279</v>
      </c>
      <c r="D199" s="324" t="s">
        <v>133</v>
      </c>
      <c r="E199" s="324" t="s">
        <v>290</v>
      </c>
      <c r="F199" s="324" t="s">
        <v>651</v>
      </c>
      <c r="G199" s="313">
        <f>G196</f>
        <v>2482.6999999999998</v>
      </c>
      <c r="H199" s="313">
        <f t="shared" ref="H199" si="111">H196</f>
        <v>2482.6999999999998</v>
      </c>
      <c r="I199" s="337">
        <f t="shared" si="80"/>
        <v>100</v>
      </c>
    </row>
    <row r="200" spans="1:9" s="210" customFormat="1" ht="63" x14ac:dyDescent="0.25">
      <c r="A200" s="31" t="s">
        <v>304</v>
      </c>
      <c r="B200" s="20" t="s">
        <v>1018</v>
      </c>
      <c r="C200" s="40" t="s">
        <v>279</v>
      </c>
      <c r="D200" s="40" t="s">
        <v>133</v>
      </c>
      <c r="E200" s="40"/>
      <c r="F200" s="40"/>
      <c r="G200" s="6">
        <f>G201</f>
        <v>559.70000000000005</v>
      </c>
      <c r="H200" s="337">
        <f t="shared" ref="H200:H201" si="112">H201</f>
        <v>391.11741999999998</v>
      </c>
      <c r="I200" s="337">
        <f t="shared" si="80"/>
        <v>69.879832052885462</v>
      </c>
    </row>
    <row r="201" spans="1:9" s="210" customFormat="1" ht="31.5" x14ac:dyDescent="0.25">
      <c r="A201" s="25" t="s">
        <v>287</v>
      </c>
      <c r="B201" s="20" t="s">
        <v>1018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559.70000000000005</v>
      </c>
      <c r="H201" s="337">
        <f t="shared" si="112"/>
        <v>391.11741999999998</v>
      </c>
      <c r="I201" s="337">
        <f t="shared" si="80"/>
        <v>69.879832052885462</v>
      </c>
    </row>
    <row r="202" spans="1:9" s="210" customFormat="1" ht="15.75" x14ac:dyDescent="0.25">
      <c r="A202" s="25" t="s">
        <v>289</v>
      </c>
      <c r="B202" s="20" t="s">
        <v>1018</v>
      </c>
      <c r="C202" s="40" t="s">
        <v>279</v>
      </c>
      <c r="D202" s="40" t="s">
        <v>133</v>
      </c>
      <c r="E202" s="40" t="s">
        <v>290</v>
      </c>
      <c r="F202" s="40"/>
      <c r="G202" s="6">
        <f>'Пр.3 Рд,пр, ЦС,ВР 20'!F547</f>
        <v>559.70000000000005</v>
      </c>
      <c r="H202" s="337">
        <f>'Пр.3 Рд,пр, ЦС,ВР 20'!G547</f>
        <v>391.11741999999998</v>
      </c>
      <c r="I202" s="337">
        <f t="shared" si="80"/>
        <v>69.879832052885462</v>
      </c>
    </row>
    <row r="203" spans="1:9" s="210" customFormat="1" ht="31.5" x14ac:dyDescent="0.25">
      <c r="A203" s="29" t="s">
        <v>418</v>
      </c>
      <c r="B203" s="20" t="s">
        <v>1018</v>
      </c>
      <c r="C203" s="40" t="s">
        <v>279</v>
      </c>
      <c r="D203" s="40" t="s">
        <v>133</v>
      </c>
      <c r="E203" s="40" t="s">
        <v>290</v>
      </c>
      <c r="F203" s="40" t="s">
        <v>651</v>
      </c>
      <c r="G203" s="10">
        <f>G202</f>
        <v>559.70000000000005</v>
      </c>
      <c r="H203" s="313">
        <f t="shared" ref="H203" si="113">H202</f>
        <v>391.11741999999998</v>
      </c>
      <c r="I203" s="337">
        <f t="shared" si="80"/>
        <v>69.879832052885462</v>
      </c>
    </row>
    <row r="204" spans="1:9" s="210" customFormat="1" ht="63" x14ac:dyDescent="0.25">
      <c r="A204" s="31" t="s">
        <v>306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1629.3</v>
      </c>
      <c r="H204" s="337">
        <f t="shared" ref="H204:H205" si="114">H205</f>
        <v>1191.49667</v>
      </c>
      <c r="I204" s="337">
        <f t="shared" si="80"/>
        <v>73.129360461547904</v>
      </c>
    </row>
    <row r="205" spans="1:9" s="210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1629.3</v>
      </c>
      <c r="H205" s="337">
        <f t="shared" si="114"/>
        <v>1191.49667</v>
      </c>
      <c r="I205" s="337">
        <f t="shared" si="80"/>
        <v>73.129360461547904</v>
      </c>
    </row>
    <row r="206" spans="1:9" s="210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'Пр.3 Рд,пр, ЦС,ВР 20'!F550</f>
        <v>1629.3</v>
      </c>
      <c r="H206" s="337">
        <f>'Пр.3 Рд,пр, ЦС,ВР 20'!G550</f>
        <v>1191.49667</v>
      </c>
      <c r="I206" s="337">
        <f t="shared" si="80"/>
        <v>73.129360461547904</v>
      </c>
    </row>
    <row r="207" spans="1:9" s="210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651</v>
      </c>
      <c r="G207" s="10">
        <f>G206</f>
        <v>1629.3</v>
      </c>
      <c r="H207" s="313">
        <f t="shared" ref="H207" si="115">H206</f>
        <v>1191.49667</v>
      </c>
      <c r="I207" s="337">
        <f t="shared" si="80"/>
        <v>73.129360461547904</v>
      </c>
    </row>
    <row r="208" spans="1:9" s="210" customFormat="1" ht="94.5" x14ac:dyDescent="0.25">
      <c r="A208" s="31" t="s">
        <v>1448</v>
      </c>
      <c r="B208" s="20" t="s">
        <v>1020</v>
      </c>
      <c r="C208" s="40" t="s">
        <v>279</v>
      </c>
      <c r="D208" s="40" t="s">
        <v>133</v>
      </c>
      <c r="E208" s="40"/>
      <c r="F208" s="40"/>
      <c r="G208" s="6">
        <f>G209</f>
        <v>80735.399999999994</v>
      </c>
      <c r="H208" s="337">
        <f t="shared" ref="H208:H209" si="116">H209</f>
        <v>74623.61894</v>
      </c>
      <c r="I208" s="337">
        <f t="shared" si="80"/>
        <v>92.429862167029583</v>
      </c>
    </row>
    <row r="209" spans="1:9" s="210" customFormat="1" ht="31.5" x14ac:dyDescent="0.25">
      <c r="A209" s="25" t="s">
        <v>287</v>
      </c>
      <c r="B209" s="20" t="s">
        <v>1020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80735.399999999994</v>
      </c>
      <c r="H209" s="337">
        <f t="shared" si="116"/>
        <v>74623.61894</v>
      </c>
      <c r="I209" s="337">
        <f t="shared" ref="I209:I272" si="117">H209/G209*100</f>
        <v>92.429862167029583</v>
      </c>
    </row>
    <row r="210" spans="1:9" s="210" customFormat="1" ht="15.75" x14ac:dyDescent="0.25">
      <c r="A210" s="25" t="s">
        <v>289</v>
      </c>
      <c r="B210" s="20" t="s">
        <v>1020</v>
      </c>
      <c r="C210" s="40" t="s">
        <v>279</v>
      </c>
      <c r="D210" s="40" t="s">
        <v>133</v>
      </c>
      <c r="E210" s="40" t="s">
        <v>290</v>
      </c>
      <c r="F210" s="40"/>
      <c r="G210" s="6">
        <f>'Пр.3 Рд,пр, ЦС,ВР 20'!F553</f>
        <v>80735.399999999994</v>
      </c>
      <c r="H210" s="337">
        <f>'Пр.3 Рд,пр, ЦС,ВР 20'!G553</f>
        <v>74623.61894</v>
      </c>
      <c r="I210" s="337">
        <f t="shared" si="117"/>
        <v>92.429862167029583</v>
      </c>
    </row>
    <row r="211" spans="1:9" s="210" customFormat="1" ht="31.5" x14ac:dyDescent="0.25">
      <c r="A211" s="29" t="s">
        <v>418</v>
      </c>
      <c r="B211" s="20" t="s">
        <v>1020</v>
      </c>
      <c r="C211" s="40" t="s">
        <v>279</v>
      </c>
      <c r="D211" s="40" t="s">
        <v>133</v>
      </c>
      <c r="E211" s="40" t="s">
        <v>290</v>
      </c>
      <c r="F211" s="40" t="s">
        <v>651</v>
      </c>
      <c r="G211" s="10">
        <f>G210</f>
        <v>80735.399999999994</v>
      </c>
      <c r="H211" s="313">
        <f t="shared" ref="H211" si="118">H210</f>
        <v>74623.61894</v>
      </c>
      <c r="I211" s="337">
        <f t="shared" si="117"/>
        <v>92.429862167029583</v>
      </c>
    </row>
    <row r="212" spans="1:9" s="210" customFormat="1" ht="94.5" x14ac:dyDescent="0.25">
      <c r="A212" s="31" t="s">
        <v>308</v>
      </c>
      <c r="B212" s="20" t="s">
        <v>1022</v>
      </c>
      <c r="C212" s="40" t="s">
        <v>279</v>
      </c>
      <c r="D212" s="40" t="s">
        <v>133</v>
      </c>
      <c r="E212" s="40"/>
      <c r="F212" s="40"/>
      <c r="G212" s="6">
        <f>G213</f>
        <v>950.00000000000045</v>
      </c>
      <c r="H212" s="337">
        <f t="shared" ref="H212:H213" si="119">H213</f>
        <v>950</v>
      </c>
      <c r="I212" s="337">
        <f t="shared" si="117"/>
        <v>99.999999999999957</v>
      </c>
    </row>
    <row r="213" spans="1:9" s="210" customFormat="1" ht="31.5" x14ac:dyDescent="0.25">
      <c r="A213" s="25" t="s">
        <v>287</v>
      </c>
      <c r="B213" s="20" t="s">
        <v>1022</v>
      </c>
      <c r="C213" s="40" t="s">
        <v>279</v>
      </c>
      <c r="D213" s="40" t="s">
        <v>133</v>
      </c>
      <c r="E213" s="40" t="s">
        <v>288</v>
      </c>
      <c r="F213" s="40"/>
      <c r="G213" s="6">
        <f>G214</f>
        <v>950.00000000000045</v>
      </c>
      <c r="H213" s="337">
        <f t="shared" si="119"/>
        <v>950</v>
      </c>
      <c r="I213" s="337">
        <f t="shared" si="117"/>
        <v>99.999999999999957</v>
      </c>
    </row>
    <row r="214" spans="1:9" s="210" customFormat="1" ht="15.75" x14ac:dyDescent="0.25">
      <c r="A214" s="25" t="s">
        <v>289</v>
      </c>
      <c r="B214" s="20" t="s">
        <v>1022</v>
      </c>
      <c r="C214" s="40" t="s">
        <v>279</v>
      </c>
      <c r="D214" s="40" t="s">
        <v>133</v>
      </c>
      <c r="E214" s="40" t="s">
        <v>290</v>
      </c>
      <c r="F214" s="40"/>
      <c r="G214" s="6">
        <f>'Пр.3 Рд,пр, ЦС,ВР 20'!F556</f>
        <v>950.00000000000045</v>
      </c>
      <c r="H214" s="337">
        <f>'Пр.3 Рд,пр, ЦС,ВР 20'!G556</f>
        <v>950</v>
      </c>
      <c r="I214" s="337">
        <f t="shared" si="117"/>
        <v>99.999999999999957</v>
      </c>
    </row>
    <row r="215" spans="1:9" s="210" customFormat="1" ht="31.5" x14ac:dyDescent="0.25">
      <c r="A215" s="29" t="s">
        <v>418</v>
      </c>
      <c r="B215" s="20" t="s">
        <v>1022</v>
      </c>
      <c r="C215" s="40" t="s">
        <v>279</v>
      </c>
      <c r="D215" s="40" t="s">
        <v>133</v>
      </c>
      <c r="E215" s="40" t="s">
        <v>290</v>
      </c>
      <c r="F215" s="40" t="s">
        <v>651</v>
      </c>
      <c r="G215" s="10">
        <f>G214</f>
        <v>950.00000000000045</v>
      </c>
      <c r="H215" s="313">
        <f t="shared" ref="H215" si="120">H214</f>
        <v>950</v>
      </c>
      <c r="I215" s="337">
        <f t="shared" si="117"/>
        <v>99.999999999999957</v>
      </c>
    </row>
    <row r="216" spans="1:9" ht="15.75" x14ac:dyDescent="0.25">
      <c r="A216" s="29" t="s">
        <v>440</v>
      </c>
      <c r="B216" s="40" t="s">
        <v>1019</v>
      </c>
      <c r="C216" s="40" t="s">
        <v>279</v>
      </c>
      <c r="D216" s="40" t="s">
        <v>228</v>
      </c>
      <c r="E216" s="40"/>
      <c r="F216" s="40"/>
      <c r="G216" s="10">
        <f>G225+G229+G233+G237+G241+G221+G217</f>
        <v>139600.67143000002</v>
      </c>
      <c r="H216" s="313">
        <f t="shared" ref="H216" si="121">H225+H229+H233+H237+H241+H221+H217</f>
        <v>131888.16699999999</v>
      </c>
      <c r="I216" s="337">
        <f t="shared" si="117"/>
        <v>94.475309931537609</v>
      </c>
    </row>
    <row r="217" spans="1:9" s="309" customFormat="1" ht="63" x14ac:dyDescent="0.25">
      <c r="A217" s="320" t="s">
        <v>1515</v>
      </c>
      <c r="B217" s="316" t="s">
        <v>1516</v>
      </c>
      <c r="C217" s="324" t="s">
        <v>279</v>
      </c>
      <c r="D217" s="324" t="s">
        <v>228</v>
      </c>
      <c r="E217" s="324"/>
      <c r="F217" s="324"/>
      <c r="G217" s="313">
        <f>G218</f>
        <v>2408.6999999999998</v>
      </c>
      <c r="H217" s="313">
        <f t="shared" ref="H217:H218" si="122">H218</f>
        <v>2064.1529999999998</v>
      </c>
      <c r="I217" s="337">
        <f t="shared" si="117"/>
        <v>85.695727986050557</v>
      </c>
    </row>
    <row r="218" spans="1:9" s="309" customFormat="1" ht="31.5" x14ac:dyDescent="0.25">
      <c r="A218" s="320" t="s">
        <v>287</v>
      </c>
      <c r="B218" s="316" t="s">
        <v>1516</v>
      </c>
      <c r="C218" s="324" t="s">
        <v>279</v>
      </c>
      <c r="D218" s="324" t="s">
        <v>228</v>
      </c>
      <c r="E218" s="324" t="s">
        <v>288</v>
      </c>
      <c r="F218" s="324"/>
      <c r="G218" s="313">
        <f>G219</f>
        <v>2408.6999999999998</v>
      </c>
      <c r="H218" s="313">
        <f t="shared" si="122"/>
        <v>2064.1529999999998</v>
      </c>
      <c r="I218" s="337">
        <f t="shared" si="117"/>
        <v>85.695727986050557</v>
      </c>
    </row>
    <row r="219" spans="1:9" s="309" customFormat="1" ht="15.75" x14ac:dyDescent="0.25">
      <c r="A219" s="320" t="s">
        <v>289</v>
      </c>
      <c r="B219" s="316" t="s">
        <v>1516</v>
      </c>
      <c r="C219" s="324" t="s">
        <v>279</v>
      </c>
      <c r="D219" s="324" t="s">
        <v>228</v>
      </c>
      <c r="E219" s="324" t="s">
        <v>290</v>
      </c>
      <c r="F219" s="324"/>
      <c r="G219" s="313">
        <f>'Пр.4 ведом.20'!G673</f>
        <v>2408.6999999999998</v>
      </c>
      <c r="H219" s="313">
        <f>'Пр.4 ведом.20'!H673</f>
        <v>2064.1529999999998</v>
      </c>
      <c r="I219" s="337">
        <f t="shared" si="117"/>
        <v>85.695727986050557</v>
      </c>
    </row>
    <row r="220" spans="1:9" s="309" customFormat="1" ht="39.200000000000003" customHeight="1" x14ac:dyDescent="0.25">
      <c r="A220" s="323" t="s">
        <v>418</v>
      </c>
      <c r="B220" s="316" t="s">
        <v>1516</v>
      </c>
      <c r="C220" s="324" t="s">
        <v>279</v>
      </c>
      <c r="D220" s="324" t="s">
        <v>228</v>
      </c>
      <c r="E220" s="324" t="s">
        <v>290</v>
      </c>
      <c r="F220" s="324" t="s">
        <v>651</v>
      </c>
      <c r="G220" s="313">
        <f>G217</f>
        <v>2408.6999999999998</v>
      </c>
      <c r="H220" s="313">
        <f t="shared" ref="H220" si="123">H217</f>
        <v>2064.1529999999998</v>
      </c>
      <c r="I220" s="337">
        <f t="shared" si="117"/>
        <v>85.695727986050557</v>
      </c>
    </row>
    <row r="221" spans="1:9" s="309" customFormat="1" ht="94.5" x14ac:dyDescent="0.25">
      <c r="A221" s="31" t="s">
        <v>479</v>
      </c>
      <c r="B221" s="316" t="s">
        <v>1507</v>
      </c>
      <c r="C221" s="324" t="s">
        <v>279</v>
      </c>
      <c r="D221" s="324" t="s">
        <v>228</v>
      </c>
      <c r="E221" s="324"/>
      <c r="F221" s="324"/>
      <c r="G221" s="313">
        <f>G222</f>
        <v>3394.4</v>
      </c>
      <c r="H221" s="313">
        <f t="shared" ref="H221:H222" si="124">H222</f>
        <v>3394.4</v>
      </c>
      <c r="I221" s="337">
        <f t="shared" si="117"/>
        <v>100</v>
      </c>
    </row>
    <row r="222" spans="1:9" s="309" customFormat="1" ht="31.5" x14ac:dyDescent="0.25">
      <c r="A222" s="320" t="s">
        <v>287</v>
      </c>
      <c r="B222" s="316" t="s">
        <v>1507</v>
      </c>
      <c r="C222" s="324" t="s">
        <v>279</v>
      </c>
      <c r="D222" s="324" t="s">
        <v>228</v>
      </c>
      <c r="E222" s="324" t="s">
        <v>288</v>
      </c>
      <c r="F222" s="324"/>
      <c r="G222" s="313">
        <f>G223</f>
        <v>3394.4</v>
      </c>
      <c r="H222" s="313">
        <f t="shared" si="124"/>
        <v>3394.4</v>
      </c>
      <c r="I222" s="337">
        <f t="shared" si="117"/>
        <v>100</v>
      </c>
    </row>
    <row r="223" spans="1:9" s="309" customFormat="1" ht="15.75" x14ac:dyDescent="0.25">
      <c r="A223" s="320" t="s">
        <v>289</v>
      </c>
      <c r="B223" s="316" t="s">
        <v>1507</v>
      </c>
      <c r="C223" s="324" t="s">
        <v>279</v>
      </c>
      <c r="D223" s="324" t="s">
        <v>228</v>
      </c>
      <c r="E223" s="324" t="s">
        <v>290</v>
      </c>
      <c r="F223" s="324"/>
      <c r="G223" s="313">
        <f>'Пр.4 ведом.20'!G676</f>
        <v>3394.4</v>
      </c>
      <c r="H223" s="313">
        <f>'Пр.4 ведом.20'!H676</f>
        <v>3394.4</v>
      </c>
      <c r="I223" s="337">
        <f t="shared" si="117"/>
        <v>100</v>
      </c>
    </row>
    <row r="224" spans="1:9" s="309" customFormat="1" ht="31.5" x14ac:dyDescent="0.25">
      <c r="A224" s="323" t="s">
        <v>418</v>
      </c>
      <c r="B224" s="316" t="s">
        <v>1507</v>
      </c>
      <c r="C224" s="324" t="s">
        <v>279</v>
      </c>
      <c r="D224" s="324" t="s">
        <v>228</v>
      </c>
      <c r="E224" s="324" t="s">
        <v>290</v>
      </c>
      <c r="F224" s="324" t="s">
        <v>651</v>
      </c>
      <c r="G224" s="313">
        <f>G221</f>
        <v>3394.4</v>
      </c>
      <c r="H224" s="313">
        <f t="shared" ref="H224" si="125">H221</f>
        <v>3394.4</v>
      </c>
      <c r="I224" s="337">
        <f t="shared" si="117"/>
        <v>100</v>
      </c>
    </row>
    <row r="225" spans="1:9" s="210" customFormat="1" ht="78.75" x14ac:dyDescent="0.25">
      <c r="A225" s="31" t="s">
        <v>1449</v>
      </c>
      <c r="B225" s="20" t="s">
        <v>1047</v>
      </c>
      <c r="C225" s="40" t="s">
        <v>279</v>
      </c>
      <c r="D225" s="40" t="s">
        <v>228</v>
      </c>
      <c r="E225" s="40"/>
      <c r="F225" s="40"/>
      <c r="G225" s="6">
        <f>G226</f>
        <v>128341.87143</v>
      </c>
      <c r="H225" s="337">
        <f t="shared" ref="H225:H226" si="126">H226</f>
        <v>122091.401</v>
      </c>
      <c r="I225" s="337">
        <f t="shared" si="117"/>
        <v>95.129827576646235</v>
      </c>
    </row>
    <row r="226" spans="1:9" s="210" customFormat="1" ht="31.5" x14ac:dyDescent="0.25">
      <c r="A226" s="25" t="s">
        <v>287</v>
      </c>
      <c r="B226" s="20" t="s">
        <v>1047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128341.87143</v>
      </c>
      <c r="H226" s="337">
        <f t="shared" si="126"/>
        <v>122091.401</v>
      </c>
      <c r="I226" s="337">
        <f t="shared" si="117"/>
        <v>95.129827576646235</v>
      </c>
    </row>
    <row r="227" spans="1:9" s="210" customFormat="1" ht="15.75" x14ac:dyDescent="0.25">
      <c r="A227" s="25" t="s">
        <v>289</v>
      </c>
      <c r="B227" s="20" t="s">
        <v>1047</v>
      </c>
      <c r="C227" s="40" t="s">
        <v>279</v>
      </c>
      <c r="D227" s="40" t="s">
        <v>228</v>
      </c>
      <c r="E227" s="40" t="s">
        <v>290</v>
      </c>
      <c r="F227" s="40"/>
      <c r="G227" s="6">
        <f>'Пр.3 Рд,пр, ЦС,ВР 20'!F624</f>
        <v>128341.87143</v>
      </c>
      <c r="H227" s="337">
        <f>'Пр.3 Рд,пр, ЦС,ВР 20'!G624</f>
        <v>122091.401</v>
      </c>
      <c r="I227" s="337">
        <f t="shared" si="117"/>
        <v>95.129827576646235</v>
      </c>
    </row>
    <row r="228" spans="1:9" s="210" customFormat="1" ht="31.5" x14ac:dyDescent="0.25">
      <c r="A228" s="29" t="s">
        <v>418</v>
      </c>
      <c r="B228" s="20" t="s">
        <v>1047</v>
      </c>
      <c r="C228" s="40" t="s">
        <v>279</v>
      </c>
      <c r="D228" s="40" t="s">
        <v>228</v>
      </c>
      <c r="E228" s="40" t="s">
        <v>290</v>
      </c>
      <c r="F228" s="40" t="s">
        <v>651</v>
      </c>
      <c r="G228" s="10">
        <f>G227</f>
        <v>128341.87143</v>
      </c>
      <c r="H228" s="313">
        <f t="shared" ref="H228" si="127">H227</f>
        <v>122091.401</v>
      </c>
      <c r="I228" s="337">
        <f t="shared" si="117"/>
        <v>95.129827576646235</v>
      </c>
    </row>
    <row r="229" spans="1:9" s="210" customFormat="1" ht="63" x14ac:dyDescent="0.25">
      <c r="A229" s="31" t="s">
        <v>304</v>
      </c>
      <c r="B229" s="20" t="s">
        <v>1018</v>
      </c>
      <c r="C229" s="40" t="s">
        <v>279</v>
      </c>
      <c r="D229" s="40" t="s">
        <v>228</v>
      </c>
      <c r="E229" s="40"/>
      <c r="F229" s="40"/>
      <c r="G229" s="6">
        <f>G230</f>
        <v>1245.5999999999999</v>
      </c>
      <c r="H229" s="337">
        <f t="shared" ref="H229:H230" si="128">H230</f>
        <v>450.61700000000002</v>
      </c>
      <c r="I229" s="337">
        <f t="shared" si="117"/>
        <v>36.17670199100835</v>
      </c>
    </row>
    <row r="230" spans="1:9" s="210" customFormat="1" ht="31.5" x14ac:dyDescent="0.25">
      <c r="A230" s="25" t="s">
        <v>287</v>
      </c>
      <c r="B230" s="20" t="s">
        <v>1018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1245.5999999999999</v>
      </c>
      <c r="H230" s="337">
        <f t="shared" si="128"/>
        <v>450.61700000000002</v>
      </c>
      <c r="I230" s="337">
        <f t="shared" si="117"/>
        <v>36.17670199100835</v>
      </c>
    </row>
    <row r="231" spans="1:9" s="210" customFormat="1" ht="15.75" x14ac:dyDescent="0.25">
      <c r="A231" s="25" t="s">
        <v>289</v>
      </c>
      <c r="B231" s="20" t="s">
        <v>1018</v>
      </c>
      <c r="C231" s="40" t="s">
        <v>279</v>
      </c>
      <c r="D231" s="40" t="s">
        <v>228</v>
      </c>
      <c r="E231" s="40" t="s">
        <v>290</v>
      </c>
      <c r="F231" s="40"/>
      <c r="G231" s="6">
        <f>'Пр.3 Рд,пр, ЦС,ВР 20'!F627</f>
        <v>1245.5999999999999</v>
      </c>
      <c r="H231" s="337">
        <f>'Пр.3 Рд,пр, ЦС,ВР 20'!G627</f>
        <v>450.61700000000002</v>
      </c>
      <c r="I231" s="337">
        <f t="shared" si="117"/>
        <v>36.17670199100835</v>
      </c>
    </row>
    <row r="232" spans="1:9" s="210" customFormat="1" ht="31.5" x14ac:dyDescent="0.25">
      <c r="A232" s="29" t="s">
        <v>418</v>
      </c>
      <c r="B232" s="20" t="s">
        <v>1018</v>
      </c>
      <c r="C232" s="40" t="s">
        <v>279</v>
      </c>
      <c r="D232" s="40" t="s">
        <v>228</v>
      </c>
      <c r="E232" s="40" t="s">
        <v>290</v>
      </c>
      <c r="F232" s="40" t="s">
        <v>651</v>
      </c>
      <c r="G232" s="10">
        <f>G231</f>
        <v>1245.5999999999999</v>
      </c>
      <c r="H232" s="313">
        <f t="shared" ref="H232" si="129">H231</f>
        <v>450.61700000000002</v>
      </c>
      <c r="I232" s="337">
        <f t="shared" si="117"/>
        <v>36.17670199100835</v>
      </c>
    </row>
    <row r="233" spans="1:9" s="210" customFormat="1" ht="63" x14ac:dyDescent="0.25">
      <c r="A233" s="31" t="s">
        <v>306</v>
      </c>
      <c r="B233" s="20" t="s">
        <v>1021</v>
      </c>
      <c r="C233" s="40" t="s">
        <v>279</v>
      </c>
      <c r="D233" s="40" t="s">
        <v>228</v>
      </c>
      <c r="E233" s="40"/>
      <c r="F233" s="40"/>
      <c r="G233" s="6">
        <f>G234</f>
        <v>2266.6999999999998</v>
      </c>
      <c r="H233" s="337">
        <f t="shared" ref="H233:H234" si="130">H234</f>
        <v>2069.6</v>
      </c>
      <c r="I233" s="337">
        <f t="shared" si="117"/>
        <v>91.304539639122964</v>
      </c>
    </row>
    <row r="234" spans="1:9" s="210" customFormat="1" ht="31.5" x14ac:dyDescent="0.25">
      <c r="A234" s="25" t="s">
        <v>287</v>
      </c>
      <c r="B234" s="20" t="s">
        <v>1021</v>
      </c>
      <c r="C234" s="40" t="s">
        <v>279</v>
      </c>
      <c r="D234" s="40" t="s">
        <v>228</v>
      </c>
      <c r="E234" s="40" t="s">
        <v>288</v>
      </c>
      <c r="F234" s="40"/>
      <c r="G234" s="6">
        <f>G235</f>
        <v>2266.6999999999998</v>
      </c>
      <c r="H234" s="337">
        <f t="shared" si="130"/>
        <v>2069.6</v>
      </c>
      <c r="I234" s="337">
        <f t="shared" si="117"/>
        <v>91.304539639122964</v>
      </c>
    </row>
    <row r="235" spans="1:9" s="210" customFormat="1" ht="15.75" x14ac:dyDescent="0.25">
      <c r="A235" s="25" t="s">
        <v>289</v>
      </c>
      <c r="B235" s="20" t="s">
        <v>1021</v>
      </c>
      <c r="C235" s="40" t="s">
        <v>279</v>
      </c>
      <c r="D235" s="40" t="s">
        <v>228</v>
      </c>
      <c r="E235" s="40" t="s">
        <v>290</v>
      </c>
      <c r="F235" s="40"/>
      <c r="G235" s="6">
        <f>'Пр.3 Рд,пр, ЦС,ВР 20'!F630</f>
        <v>2266.6999999999998</v>
      </c>
      <c r="H235" s="337">
        <f>'Пр.3 Рд,пр, ЦС,ВР 20'!G630</f>
        <v>2069.6</v>
      </c>
      <c r="I235" s="337">
        <f t="shared" si="117"/>
        <v>91.304539639122964</v>
      </c>
    </row>
    <row r="236" spans="1:9" s="210" customFormat="1" ht="31.5" x14ac:dyDescent="0.25">
      <c r="A236" s="29" t="s">
        <v>418</v>
      </c>
      <c r="B236" s="20" t="s">
        <v>1021</v>
      </c>
      <c r="C236" s="40" t="s">
        <v>279</v>
      </c>
      <c r="D236" s="40" t="s">
        <v>228</v>
      </c>
      <c r="E236" s="40" t="s">
        <v>290</v>
      </c>
      <c r="F236" s="40" t="s">
        <v>651</v>
      </c>
      <c r="G236" s="10">
        <f>G235</f>
        <v>2266.6999999999998</v>
      </c>
      <c r="H236" s="313">
        <f t="shared" ref="H236" si="131">H235</f>
        <v>2069.6</v>
      </c>
      <c r="I236" s="337">
        <f t="shared" si="117"/>
        <v>91.304539639122964</v>
      </c>
    </row>
    <row r="237" spans="1:9" s="210" customFormat="1" ht="47.25" x14ac:dyDescent="0.25">
      <c r="A237" s="31" t="s">
        <v>477</v>
      </c>
      <c r="B237" s="20" t="s">
        <v>1048</v>
      </c>
      <c r="C237" s="40" t="s">
        <v>279</v>
      </c>
      <c r="D237" s="40" t="s">
        <v>228</v>
      </c>
      <c r="E237" s="40"/>
      <c r="F237" s="40"/>
      <c r="G237" s="6">
        <f>G238</f>
        <v>923.4</v>
      </c>
      <c r="H237" s="337">
        <f t="shared" ref="H237:H238" si="132">H238</f>
        <v>797.99599999999998</v>
      </c>
      <c r="I237" s="337">
        <f t="shared" si="117"/>
        <v>86.419319904700018</v>
      </c>
    </row>
    <row r="238" spans="1:9" s="210" customFormat="1" ht="31.5" x14ac:dyDescent="0.25">
      <c r="A238" s="25" t="s">
        <v>287</v>
      </c>
      <c r="B238" s="20" t="s">
        <v>1048</v>
      </c>
      <c r="C238" s="40" t="s">
        <v>279</v>
      </c>
      <c r="D238" s="40" t="s">
        <v>228</v>
      </c>
      <c r="E238" s="40" t="s">
        <v>288</v>
      </c>
      <c r="F238" s="40"/>
      <c r="G238" s="6">
        <f>G239</f>
        <v>923.4</v>
      </c>
      <c r="H238" s="337">
        <f t="shared" si="132"/>
        <v>797.99599999999998</v>
      </c>
      <c r="I238" s="337">
        <f t="shared" si="117"/>
        <v>86.419319904700018</v>
      </c>
    </row>
    <row r="239" spans="1:9" s="210" customFormat="1" ht="15.75" x14ac:dyDescent="0.25">
      <c r="A239" s="25" t="s">
        <v>289</v>
      </c>
      <c r="B239" s="20" t="s">
        <v>1048</v>
      </c>
      <c r="C239" s="40" t="s">
        <v>279</v>
      </c>
      <c r="D239" s="40" t="s">
        <v>228</v>
      </c>
      <c r="E239" s="40" t="s">
        <v>290</v>
      </c>
      <c r="F239" s="40"/>
      <c r="G239" s="6">
        <f>'Пр.3 Рд,пр, ЦС,ВР 20'!F633</f>
        <v>923.4</v>
      </c>
      <c r="H239" s="337">
        <f>'Пр.3 Рд,пр, ЦС,ВР 20'!G633</f>
        <v>797.99599999999998</v>
      </c>
      <c r="I239" s="337">
        <f t="shared" si="117"/>
        <v>86.419319904700018</v>
      </c>
    </row>
    <row r="240" spans="1:9" s="210" customFormat="1" ht="31.5" x14ac:dyDescent="0.25">
      <c r="A240" s="29" t="s">
        <v>418</v>
      </c>
      <c r="B240" s="20" t="s">
        <v>1048</v>
      </c>
      <c r="C240" s="40" t="s">
        <v>279</v>
      </c>
      <c r="D240" s="40" t="s">
        <v>228</v>
      </c>
      <c r="E240" s="40" t="s">
        <v>290</v>
      </c>
      <c r="F240" s="40" t="s">
        <v>651</v>
      </c>
      <c r="G240" s="10">
        <f>G239</f>
        <v>923.4</v>
      </c>
      <c r="H240" s="313">
        <f t="shared" ref="H240" si="133">H239</f>
        <v>797.99599999999998</v>
      </c>
      <c r="I240" s="337">
        <f t="shared" si="117"/>
        <v>86.419319904700018</v>
      </c>
    </row>
    <row r="241" spans="1:9" s="210" customFormat="1" ht="94.5" x14ac:dyDescent="0.25">
      <c r="A241" s="31" t="s">
        <v>479</v>
      </c>
      <c r="B241" s="20" t="s">
        <v>1022</v>
      </c>
      <c r="C241" s="40" t="s">
        <v>279</v>
      </c>
      <c r="D241" s="40" t="s">
        <v>228</v>
      </c>
      <c r="E241" s="40"/>
      <c r="F241" s="40"/>
      <c r="G241" s="6">
        <f>G242</f>
        <v>1019.9999999999991</v>
      </c>
      <c r="H241" s="337">
        <f t="shared" ref="H241:H242" si="134">H242</f>
        <v>1020</v>
      </c>
      <c r="I241" s="337">
        <f t="shared" si="117"/>
        <v>100.00000000000009</v>
      </c>
    </row>
    <row r="242" spans="1:9" s="210" customFormat="1" ht="31.5" x14ac:dyDescent="0.25">
      <c r="A242" s="25" t="s">
        <v>287</v>
      </c>
      <c r="B242" s="20" t="s">
        <v>1022</v>
      </c>
      <c r="C242" s="40" t="s">
        <v>279</v>
      </c>
      <c r="D242" s="40" t="s">
        <v>228</v>
      </c>
      <c r="E242" s="40" t="s">
        <v>288</v>
      </c>
      <c r="F242" s="40"/>
      <c r="G242" s="6">
        <f>G243</f>
        <v>1019.9999999999991</v>
      </c>
      <c r="H242" s="337">
        <f t="shared" si="134"/>
        <v>1020</v>
      </c>
      <c r="I242" s="337">
        <f t="shared" si="117"/>
        <v>100.00000000000009</v>
      </c>
    </row>
    <row r="243" spans="1:9" s="210" customFormat="1" ht="15.75" x14ac:dyDescent="0.25">
      <c r="A243" s="25" t="s">
        <v>289</v>
      </c>
      <c r="B243" s="20" t="s">
        <v>1022</v>
      </c>
      <c r="C243" s="40" t="s">
        <v>279</v>
      </c>
      <c r="D243" s="40" t="s">
        <v>228</v>
      </c>
      <c r="E243" s="40" t="s">
        <v>290</v>
      </c>
      <c r="F243" s="40"/>
      <c r="G243" s="6">
        <f>'Пр.3 Рд,пр, ЦС,ВР 20'!F636</f>
        <v>1019.9999999999991</v>
      </c>
      <c r="H243" s="337">
        <f>'Пр.3 Рд,пр, ЦС,ВР 20'!G636</f>
        <v>1020</v>
      </c>
      <c r="I243" s="337">
        <f t="shared" si="117"/>
        <v>100.00000000000009</v>
      </c>
    </row>
    <row r="244" spans="1:9" s="210" customFormat="1" ht="31.5" x14ac:dyDescent="0.25">
      <c r="A244" s="29" t="s">
        <v>418</v>
      </c>
      <c r="B244" s="20" t="s">
        <v>1022</v>
      </c>
      <c r="C244" s="40" t="s">
        <v>279</v>
      </c>
      <c r="D244" s="40" t="s">
        <v>228</v>
      </c>
      <c r="E244" s="40" t="s">
        <v>290</v>
      </c>
      <c r="F244" s="40" t="s">
        <v>651</v>
      </c>
      <c r="G244" s="10">
        <f>G243</f>
        <v>1019.9999999999991</v>
      </c>
      <c r="H244" s="313">
        <f t="shared" ref="H244" si="135">H243</f>
        <v>1020</v>
      </c>
      <c r="I244" s="337">
        <f t="shared" si="117"/>
        <v>100.00000000000009</v>
      </c>
    </row>
    <row r="245" spans="1:9" ht="15.75" x14ac:dyDescent="0.25">
      <c r="A245" s="29" t="s">
        <v>280</v>
      </c>
      <c r="B245" s="40" t="s">
        <v>1019</v>
      </c>
      <c r="C245" s="40" t="s">
        <v>279</v>
      </c>
      <c r="D245" s="40" t="s">
        <v>230</v>
      </c>
      <c r="E245" s="40"/>
      <c r="F245" s="40"/>
      <c r="G245" s="6">
        <f>G250+G254+G258+G246</f>
        <v>2222.1999999999998</v>
      </c>
      <c r="H245" s="337">
        <f t="shared" ref="H245" si="136">H250+H254+H258+H246</f>
        <v>2213.6725200000001</v>
      </c>
      <c r="I245" s="337">
        <f t="shared" si="117"/>
        <v>99.61625956259563</v>
      </c>
    </row>
    <row r="246" spans="1:9" s="309" customFormat="1" ht="94.5" x14ac:dyDescent="0.25">
      <c r="A246" s="31" t="s">
        <v>308</v>
      </c>
      <c r="B246" s="316" t="s">
        <v>1507</v>
      </c>
      <c r="C246" s="324" t="s">
        <v>279</v>
      </c>
      <c r="D246" s="324" t="s">
        <v>230</v>
      </c>
      <c r="E246" s="324"/>
      <c r="F246" s="324"/>
      <c r="G246" s="6">
        <f>G247</f>
        <v>816.9</v>
      </c>
      <c r="H246" s="337">
        <f t="shared" ref="H246:H247" si="137">H247</f>
        <v>816.9</v>
      </c>
      <c r="I246" s="337">
        <f t="shared" si="117"/>
        <v>100</v>
      </c>
    </row>
    <row r="247" spans="1:9" s="309" customFormat="1" ht="31.5" x14ac:dyDescent="0.25">
      <c r="A247" s="320" t="s">
        <v>287</v>
      </c>
      <c r="B247" s="316" t="s">
        <v>1507</v>
      </c>
      <c r="C247" s="324" t="s">
        <v>279</v>
      </c>
      <c r="D247" s="324" t="s">
        <v>230</v>
      </c>
      <c r="E247" s="324" t="s">
        <v>288</v>
      </c>
      <c r="F247" s="324"/>
      <c r="G247" s="6">
        <f>G248</f>
        <v>816.9</v>
      </c>
      <c r="H247" s="337">
        <f t="shared" si="137"/>
        <v>816.9</v>
      </c>
      <c r="I247" s="337">
        <f t="shared" si="117"/>
        <v>100</v>
      </c>
    </row>
    <row r="248" spans="1:9" s="309" customFormat="1" ht="15.75" x14ac:dyDescent="0.25">
      <c r="A248" s="320" t="s">
        <v>289</v>
      </c>
      <c r="B248" s="316" t="s">
        <v>1507</v>
      </c>
      <c r="C248" s="324" t="s">
        <v>279</v>
      </c>
      <c r="D248" s="324" t="s">
        <v>230</v>
      </c>
      <c r="E248" s="324" t="s">
        <v>290</v>
      </c>
      <c r="F248" s="324"/>
      <c r="G248" s="6">
        <f>'Пр.4 ведом.20'!G782</f>
        <v>816.9</v>
      </c>
      <c r="H248" s="337">
        <f>'Пр.4 ведом.20'!H782</f>
        <v>816.9</v>
      </c>
      <c r="I248" s="337">
        <f t="shared" si="117"/>
        <v>100</v>
      </c>
    </row>
    <row r="249" spans="1:9" s="309" customFormat="1" ht="31.5" x14ac:dyDescent="0.25">
      <c r="A249" s="323" t="s">
        <v>418</v>
      </c>
      <c r="B249" s="316" t="s">
        <v>1507</v>
      </c>
      <c r="C249" s="324" t="s">
        <v>279</v>
      </c>
      <c r="D249" s="324" t="s">
        <v>230</v>
      </c>
      <c r="E249" s="324" t="s">
        <v>290</v>
      </c>
      <c r="F249" s="324" t="s">
        <v>651</v>
      </c>
      <c r="G249" s="6">
        <f>G246</f>
        <v>816.9</v>
      </c>
      <c r="H249" s="337">
        <f t="shared" ref="H249" si="138">H246</f>
        <v>816.9</v>
      </c>
      <c r="I249" s="337">
        <f t="shared" si="117"/>
        <v>100</v>
      </c>
    </row>
    <row r="250" spans="1:9" s="210" customFormat="1" ht="63" x14ac:dyDescent="0.25">
      <c r="A250" s="31" t="s">
        <v>304</v>
      </c>
      <c r="B250" s="20" t="s">
        <v>1018</v>
      </c>
      <c r="C250" s="40" t="s">
        <v>279</v>
      </c>
      <c r="D250" s="40" t="s">
        <v>230</v>
      </c>
      <c r="E250" s="40"/>
      <c r="F250" s="40"/>
      <c r="G250" s="6">
        <f>G251</f>
        <v>169.3</v>
      </c>
      <c r="H250" s="337">
        <f t="shared" ref="H250:H251" si="139">H251</f>
        <v>160.77431999999999</v>
      </c>
      <c r="I250" s="337">
        <f t="shared" si="117"/>
        <v>94.96415829887772</v>
      </c>
    </row>
    <row r="251" spans="1:9" s="210" customFormat="1" ht="31.5" x14ac:dyDescent="0.25">
      <c r="A251" s="25" t="s">
        <v>287</v>
      </c>
      <c r="B251" s="20" t="s">
        <v>1018</v>
      </c>
      <c r="C251" s="40" t="s">
        <v>279</v>
      </c>
      <c r="D251" s="40" t="s">
        <v>230</v>
      </c>
      <c r="E251" s="40" t="s">
        <v>288</v>
      </c>
      <c r="F251" s="40"/>
      <c r="G251" s="6">
        <f>G252</f>
        <v>169.3</v>
      </c>
      <c r="H251" s="337">
        <f t="shared" si="139"/>
        <v>160.77431999999999</v>
      </c>
      <c r="I251" s="337">
        <f t="shared" si="117"/>
        <v>94.96415829887772</v>
      </c>
    </row>
    <row r="252" spans="1:9" s="210" customFormat="1" ht="15.75" x14ac:dyDescent="0.25">
      <c r="A252" s="25" t="s">
        <v>289</v>
      </c>
      <c r="B252" s="20" t="s">
        <v>1018</v>
      </c>
      <c r="C252" s="40" t="s">
        <v>279</v>
      </c>
      <c r="D252" s="40" t="s">
        <v>230</v>
      </c>
      <c r="E252" s="40" t="s">
        <v>290</v>
      </c>
      <c r="F252" s="40"/>
      <c r="G252" s="6">
        <f>'Пр.4 ведом.20'!G785</f>
        <v>169.3</v>
      </c>
      <c r="H252" s="337">
        <f>'Пр.4 ведом.20'!H785</f>
        <v>160.77431999999999</v>
      </c>
      <c r="I252" s="337">
        <f t="shared" si="117"/>
        <v>94.96415829887772</v>
      </c>
    </row>
    <row r="253" spans="1:9" s="210" customFormat="1" ht="31.5" x14ac:dyDescent="0.25">
      <c r="A253" s="29" t="s">
        <v>418</v>
      </c>
      <c r="B253" s="20" t="s">
        <v>1018</v>
      </c>
      <c r="C253" s="40" t="s">
        <v>279</v>
      </c>
      <c r="D253" s="40" t="s">
        <v>230</v>
      </c>
      <c r="E253" s="40" t="s">
        <v>290</v>
      </c>
      <c r="F253" s="40" t="s">
        <v>651</v>
      </c>
      <c r="G253" s="10">
        <f>G252</f>
        <v>169.3</v>
      </c>
      <c r="H253" s="313">
        <f t="shared" ref="H253" si="140">H252</f>
        <v>160.77431999999999</v>
      </c>
      <c r="I253" s="337">
        <f t="shared" si="117"/>
        <v>94.96415829887772</v>
      </c>
    </row>
    <row r="254" spans="1:9" s="210" customFormat="1" ht="63" x14ac:dyDescent="0.25">
      <c r="A254" s="31" t="s">
        <v>306</v>
      </c>
      <c r="B254" s="20" t="s">
        <v>1021</v>
      </c>
      <c r="C254" s="40" t="s">
        <v>279</v>
      </c>
      <c r="D254" s="40" t="s">
        <v>230</v>
      </c>
      <c r="E254" s="40"/>
      <c r="F254" s="40"/>
      <c r="G254" s="6">
        <f>G255</f>
        <v>549.5</v>
      </c>
      <c r="H254" s="337">
        <f t="shared" ref="H254:H255" si="141">H255</f>
        <v>549.4982</v>
      </c>
      <c r="I254" s="337">
        <f t="shared" si="117"/>
        <v>99.99967242948135</v>
      </c>
    </row>
    <row r="255" spans="1:9" s="210" customFormat="1" ht="31.5" x14ac:dyDescent="0.25">
      <c r="A255" s="25" t="s">
        <v>287</v>
      </c>
      <c r="B255" s="20" t="s">
        <v>1021</v>
      </c>
      <c r="C255" s="40" t="s">
        <v>279</v>
      </c>
      <c r="D255" s="40" t="s">
        <v>230</v>
      </c>
      <c r="E255" s="40" t="s">
        <v>288</v>
      </c>
      <c r="F255" s="40"/>
      <c r="G255" s="6">
        <f>G256</f>
        <v>549.5</v>
      </c>
      <c r="H255" s="337">
        <f t="shared" si="141"/>
        <v>549.4982</v>
      </c>
      <c r="I255" s="337">
        <f t="shared" si="117"/>
        <v>99.99967242948135</v>
      </c>
    </row>
    <row r="256" spans="1:9" s="210" customFormat="1" ht="15.75" x14ac:dyDescent="0.25">
      <c r="A256" s="25" t="s">
        <v>289</v>
      </c>
      <c r="B256" s="20" t="s">
        <v>1021</v>
      </c>
      <c r="C256" s="40" t="s">
        <v>279</v>
      </c>
      <c r="D256" s="40" t="s">
        <v>230</v>
      </c>
      <c r="E256" s="40" t="s">
        <v>290</v>
      </c>
      <c r="F256" s="40"/>
      <c r="G256" s="6">
        <f>'Пр.4 ведом.20'!G788</f>
        <v>549.5</v>
      </c>
      <c r="H256" s="337">
        <f>'Пр.4 ведом.20'!H788</f>
        <v>549.4982</v>
      </c>
      <c r="I256" s="337">
        <f t="shared" si="117"/>
        <v>99.99967242948135</v>
      </c>
    </row>
    <row r="257" spans="1:9" s="210" customFormat="1" ht="31.5" x14ac:dyDescent="0.25">
      <c r="A257" s="29" t="s">
        <v>418</v>
      </c>
      <c r="B257" s="20" t="s">
        <v>1021</v>
      </c>
      <c r="C257" s="40" t="s">
        <v>279</v>
      </c>
      <c r="D257" s="40" t="s">
        <v>230</v>
      </c>
      <c r="E257" s="40" t="s">
        <v>290</v>
      </c>
      <c r="F257" s="40" t="s">
        <v>651</v>
      </c>
      <c r="G257" s="10">
        <f>G256</f>
        <v>549.5</v>
      </c>
      <c r="H257" s="313">
        <f t="shared" ref="H257" si="142">H256</f>
        <v>549.4982</v>
      </c>
      <c r="I257" s="337">
        <f t="shared" si="117"/>
        <v>99.99967242948135</v>
      </c>
    </row>
    <row r="258" spans="1:9" s="210" customFormat="1" ht="94.5" x14ac:dyDescent="0.25">
      <c r="A258" s="31" t="s">
        <v>308</v>
      </c>
      <c r="B258" s="20" t="s">
        <v>1022</v>
      </c>
      <c r="C258" s="40" t="s">
        <v>279</v>
      </c>
      <c r="D258" s="40" t="s">
        <v>230</v>
      </c>
      <c r="E258" s="40"/>
      <c r="F258" s="40"/>
      <c r="G258" s="6">
        <f>G259</f>
        <v>686.5</v>
      </c>
      <c r="H258" s="337">
        <f t="shared" ref="H258:H259" si="143">H259</f>
        <v>686.5</v>
      </c>
      <c r="I258" s="337">
        <f t="shared" si="117"/>
        <v>100</v>
      </c>
    </row>
    <row r="259" spans="1:9" s="210" customFormat="1" ht="31.5" x14ac:dyDescent="0.25">
      <c r="A259" s="25" t="s">
        <v>287</v>
      </c>
      <c r="B259" s="20" t="s">
        <v>1022</v>
      </c>
      <c r="C259" s="40" t="s">
        <v>279</v>
      </c>
      <c r="D259" s="40" t="s">
        <v>230</v>
      </c>
      <c r="E259" s="40" t="s">
        <v>288</v>
      </c>
      <c r="F259" s="40"/>
      <c r="G259" s="6">
        <f>G260</f>
        <v>686.5</v>
      </c>
      <c r="H259" s="337">
        <f t="shared" si="143"/>
        <v>686.5</v>
      </c>
      <c r="I259" s="337">
        <f t="shared" si="117"/>
        <v>100</v>
      </c>
    </row>
    <row r="260" spans="1:9" s="210" customFormat="1" ht="15.75" x14ac:dyDescent="0.25">
      <c r="A260" s="25" t="s">
        <v>289</v>
      </c>
      <c r="B260" s="20" t="s">
        <v>1022</v>
      </c>
      <c r="C260" s="40" t="s">
        <v>279</v>
      </c>
      <c r="D260" s="40" t="s">
        <v>230</v>
      </c>
      <c r="E260" s="40" t="s">
        <v>290</v>
      </c>
      <c r="F260" s="40"/>
      <c r="G260" s="6">
        <f>'Пр.4 ведом.20'!G790</f>
        <v>686.5</v>
      </c>
      <c r="H260" s="337">
        <f>'Пр.4 ведом.20'!H790</f>
        <v>686.5</v>
      </c>
      <c r="I260" s="337">
        <f t="shared" si="117"/>
        <v>100</v>
      </c>
    </row>
    <row r="261" spans="1:9" s="210" customFormat="1" ht="31.5" x14ac:dyDescent="0.25">
      <c r="A261" s="29" t="s">
        <v>418</v>
      </c>
      <c r="B261" s="20" t="s">
        <v>1022</v>
      </c>
      <c r="C261" s="40" t="s">
        <v>279</v>
      </c>
      <c r="D261" s="40" t="s">
        <v>230</v>
      </c>
      <c r="E261" s="40" t="s">
        <v>290</v>
      </c>
      <c r="F261" s="40" t="s">
        <v>651</v>
      </c>
      <c r="G261" s="10">
        <f>G260</f>
        <v>686.5</v>
      </c>
      <c r="H261" s="313">
        <f t="shared" ref="H261" si="144">H260</f>
        <v>686.5</v>
      </c>
      <c r="I261" s="337">
        <f t="shared" si="117"/>
        <v>100</v>
      </c>
    </row>
    <row r="262" spans="1:9" ht="31.5" x14ac:dyDescent="0.25">
      <c r="A262" s="41" t="s">
        <v>426</v>
      </c>
      <c r="B262" s="7" t="s">
        <v>427</v>
      </c>
      <c r="C262" s="7"/>
      <c r="D262" s="7"/>
      <c r="E262" s="7"/>
      <c r="F262" s="7"/>
      <c r="G262" s="59">
        <f>G263+G278+G293+G304</f>
        <v>10322.106</v>
      </c>
      <c r="H262" s="325">
        <f t="shared" ref="H262" si="145">H263+H278+H293+H304</f>
        <v>8297.0821899999992</v>
      </c>
      <c r="I262" s="4">
        <f t="shared" si="117"/>
        <v>80.381679765737729</v>
      </c>
    </row>
    <row r="263" spans="1:9" s="210" customFormat="1" ht="31.5" x14ac:dyDescent="0.25">
      <c r="A263" s="23" t="s">
        <v>1005</v>
      </c>
      <c r="B263" s="24" t="s">
        <v>1006</v>
      </c>
      <c r="C263" s="7"/>
      <c r="D263" s="7"/>
      <c r="E263" s="7"/>
      <c r="F263" s="7"/>
      <c r="G263" s="59">
        <f>G264</f>
        <v>4184.2160000000003</v>
      </c>
      <c r="H263" s="325">
        <f t="shared" ref="H263" si="146">H264</f>
        <v>4184.1282700000002</v>
      </c>
      <c r="I263" s="4">
        <f t="shared" si="117"/>
        <v>99.997903310918929</v>
      </c>
    </row>
    <row r="264" spans="1:9" ht="15.75" x14ac:dyDescent="0.25">
      <c r="A264" s="29" t="s">
        <v>278</v>
      </c>
      <c r="B264" s="40" t="s">
        <v>1006</v>
      </c>
      <c r="C264" s="40" t="s">
        <v>279</v>
      </c>
      <c r="D264" s="40"/>
      <c r="E264" s="40"/>
      <c r="F264" s="40"/>
      <c r="G264" s="10">
        <f t="shared" ref="G264:H264" si="147">G265</f>
        <v>4184.2160000000003</v>
      </c>
      <c r="H264" s="313">
        <f t="shared" si="147"/>
        <v>4184.1282700000002</v>
      </c>
      <c r="I264" s="337">
        <f t="shared" si="117"/>
        <v>99.997903310918929</v>
      </c>
    </row>
    <row r="265" spans="1:9" ht="15.75" x14ac:dyDescent="0.25">
      <c r="A265" s="45" t="s">
        <v>419</v>
      </c>
      <c r="B265" s="40" t="s">
        <v>1006</v>
      </c>
      <c r="C265" s="40" t="s">
        <v>279</v>
      </c>
      <c r="D265" s="40" t="s">
        <v>133</v>
      </c>
      <c r="E265" s="40"/>
      <c r="F265" s="40"/>
      <c r="G265" s="10">
        <f>G266+G270+G274</f>
        <v>4184.2160000000003</v>
      </c>
      <c r="H265" s="313">
        <f t="shared" ref="H265" si="148">H266+H270+H274</f>
        <v>4184.1282700000002</v>
      </c>
      <c r="I265" s="337">
        <f t="shared" si="117"/>
        <v>99.997903310918929</v>
      </c>
    </row>
    <row r="266" spans="1:9" ht="31.5" x14ac:dyDescent="0.25">
      <c r="A266" s="29" t="s">
        <v>293</v>
      </c>
      <c r="B266" s="20" t="s">
        <v>1007</v>
      </c>
      <c r="C266" s="40" t="s">
        <v>279</v>
      </c>
      <c r="D266" s="40" t="s">
        <v>133</v>
      </c>
      <c r="E266" s="40"/>
      <c r="F266" s="40"/>
      <c r="G266" s="10">
        <f t="shared" ref="G266:H267" si="149">G267</f>
        <v>474</v>
      </c>
      <c r="H266" s="313">
        <f t="shared" si="149"/>
        <v>473.99592999999999</v>
      </c>
      <c r="I266" s="337">
        <f t="shared" si="117"/>
        <v>99.999141350210962</v>
      </c>
    </row>
    <row r="267" spans="1:9" ht="31.5" x14ac:dyDescent="0.25">
      <c r="A267" s="29" t="s">
        <v>287</v>
      </c>
      <c r="B267" s="20" t="s">
        <v>1007</v>
      </c>
      <c r="C267" s="40" t="s">
        <v>279</v>
      </c>
      <c r="D267" s="40" t="s">
        <v>133</v>
      </c>
      <c r="E267" s="40" t="s">
        <v>288</v>
      </c>
      <c r="F267" s="40"/>
      <c r="G267" s="10">
        <f t="shared" si="149"/>
        <v>474</v>
      </c>
      <c r="H267" s="313">
        <f t="shared" si="149"/>
        <v>473.99592999999999</v>
      </c>
      <c r="I267" s="337">
        <f t="shared" si="117"/>
        <v>99.999141350210962</v>
      </c>
    </row>
    <row r="268" spans="1:9" ht="15.75" x14ac:dyDescent="0.25">
      <c r="A268" s="29" t="s">
        <v>289</v>
      </c>
      <c r="B268" s="20" t="s">
        <v>1007</v>
      </c>
      <c r="C268" s="40" t="s">
        <v>279</v>
      </c>
      <c r="D268" s="40" t="s">
        <v>133</v>
      </c>
      <c r="E268" s="40" t="s">
        <v>290</v>
      </c>
      <c r="F268" s="40"/>
      <c r="G268" s="10">
        <f>'Пр.4 ведом.20'!G616</f>
        <v>474</v>
      </c>
      <c r="H268" s="313">
        <f>'Пр.4 ведом.20'!H616</f>
        <v>473.99592999999999</v>
      </c>
      <c r="I268" s="337">
        <f t="shared" si="117"/>
        <v>99.999141350210962</v>
      </c>
    </row>
    <row r="269" spans="1:9" s="210" customFormat="1" ht="31.5" x14ac:dyDescent="0.25">
      <c r="A269" s="29" t="s">
        <v>418</v>
      </c>
      <c r="B269" s="20" t="s">
        <v>1007</v>
      </c>
      <c r="C269" s="40" t="s">
        <v>279</v>
      </c>
      <c r="D269" s="40" t="s">
        <v>133</v>
      </c>
      <c r="E269" s="40" t="s">
        <v>290</v>
      </c>
      <c r="F269" s="40" t="s">
        <v>651</v>
      </c>
      <c r="G269" s="10">
        <f>G268</f>
        <v>474</v>
      </c>
      <c r="H269" s="313">
        <f t="shared" ref="H269" si="150">H268</f>
        <v>473.99592999999999</v>
      </c>
      <c r="I269" s="337">
        <f t="shared" si="117"/>
        <v>99.999141350210962</v>
      </c>
    </row>
    <row r="270" spans="1:9" ht="31.7" customHeight="1" x14ac:dyDescent="0.25">
      <c r="A270" s="29" t="s">
        <v>295</v>
      </c>
      <c r="B270" s="20" t="s">
        <v>1008</v>
      </c>
      <c r="C270" s="40" t="s">
        <v>279</v>
      </c>
      <c r="D270" s="40" t="s">
        <v>133</v>
      </c>
      <c r="E270" s="40"/>
      <c r="F270" s="40"/>
      <c r="G270" s="10">
        <f t="shared" ref="G270:H271" si="151">G271</f>
        <v>67.400000000000006</v>
      </c>
      <c r="H270" s="313">
        <f t="shared" si="151"/>
        <v>67.317449999999994</v>
      </c>
      <c r="I270" s="337">
        <f t="shared" si="117"/>
        <v>99.877522255192858</v>
      </c>
    </row>
    <row r="271" spans="1:9" ht="31.7" customHeight="1" x14ac:dyDescent="0.25">
      <c r="A271" s="29" t="s">
        <v>287</v>
      </c>
      <c r="B271" s="20" t="s">
        <v>1008</v>
      </c>
      <c r="C271" s="40" t="s">
        <v>279</v>
      </c>
      <c r="D271" s="40" t="s">
        <v>133</v>
      </c>
      <c r="E271" s="40" t="s">
        <v>288</v>
      </c>
      <c r="F271" s="40"/>
      <c r="G271" s="10">
        <f t="shared" si="151"/>
        <v>67.400000000000006</v>
      </c>
      <c r="H271" s="313">
        <f t="shared" si="151"/>
        <v>67.317449999999994</v>
      </c>
      <c r="I271" s="337">
        <f t="shared" si="117"/>
        <v>99.877522255192858</v>
      </c>
    </row>
    <row r="272" spans="1:9" ht="15.75" customHeight="1" x14ac:dyDescent="0.25">
      <c r="A272" s="29" t="s">
        <v>289</v>
      </c>
      <c r="B272" s="20" t="s">
        <v>1008</v>
      </c>
      <c r="C272" s="40" t="s">
        <v>279</v>
      </c>
      <c r="D272" s="40" t="s">
        <v>133</v>
      </c>
      <c r="E272" s="40" t="s">
        <v>290</v>
      </c>
      <c r="F272" s="40"/>
      <c r="G272" s="10">
        <f>'Пр.4 ведом.20'!G619</f>
        <v>67.400000000000006</v>
      </c>
      <c r="H272" s="313">
        <f>'Пр.4 ведом.20'!H619</f>
        <v>67.317449999999994</v>
      </c>
      <c r="I272" s="337">
        <f t="shared" si="117"/>
        <v>99.877522255192858</v>
      </c>
    </row>
    <row r="273" spans="1:9" s="210" customFormat="1" ht="15.75" customHeight="1" x14ac:dyDescent="0.25">
      <c r="A273" s="29" t="s">
        <v>418</v>
      </c>
      <c r="B273" s="20" t="s">
        <v>1008</v>
      </c>
      <c r="C273" s="40" t="s">
        <v>279</v>
      </c>
      <c r="D273" s="40" t="s">
        <v>133</v>
      </c>
      <c r="E273" s="40" t="s">
        <v>290</v>
      </c>
      <c r="F273" s="40" t="s">
        <v>651</v>
      </c>
      <c r="G273" s="10">
        <f>G272</f>
        <v>67.400000000000006</v>
      </c>
      <c r="H273" s="313">
        <f t="shared" ref="H273" si="152">H272</f>
        <v>67.317449999999994</v>
      </c>
      <c r="I273" s="337">
        <f t="shared" ref="I273:I336" si="153">H273/G273*100</f>
        <v>99.877522255192858</v>
      </c>
    </row>
    <row r="274" spans="1:9" ht="31.5" x14ac:dyDescent="0.25">
      <c r="A274" s="29" t="s">
        <v>430</v>
      </c>
      <c r="B274" s="20" t="s">
        <v>1009</v>
      </c>
      <c r="C274" s="40" t="s">
        <v>279</v>
      </c>
      <c r="D274" s="40" t="s">
        <v>133</v>
      </c>
      <c r="E274" s="40"/>
      <c r="F274" s="40"/>
      <c r="G274" s="10">
        <f t="shared" ref="G274:H275" si="154">G275</f>
        <v>3642.8160000000003</v>
      </c>
      <c r="H274" s="313">
        <f t="shared" si="154"/>
        <v>3642.8148900000001</v>
      </c>
      <c r="I274" s="337">
        <f t="shared" si="153"/>
        <v>99.999969529067627</v>
      </c>
    </row>
    <row r="275" spans="1:9" ht="33.75" customHeight="1" x14ac:dyDescent="0.25">
      <c r="A275" s="29" t="s">
        <v>287</v>
      </c>
      <c r="B275" s="20" t="s">
        <v>1009</v>
      </c>
      <c r="C275" s="40" t="s">
        <v>279</v>
      </c>
      <c r="D275" s="40" t="s">
        <v>133</v>
      </c>
      <c r="E275" s="40" t="s">
        <v>288</v>
      </c>
      <c r="F275" s="40"/>
      <c r="G275" s="10">
        <f t="shared" si="154"/>
        <v>3642.8160000000003</v>
      </c>
      <c r="H275" s="313">
        <f t="shared" si="154"/>
        <v>3642.8148900000001</v>
      </c>
      <c r="I275" s="337">
        <f t="shared" si="153"/>
        <v>99.999969529067627</v>
      </c>
    </row>
    <row r="276" spans="1:9" ht="15.75" x14ac:dyDescent="0.25">
      <c r="A276" s="29" t="s">
        <v>289</v>
      </c>
      <c r="B276" s="20" t="s">
        <v>1009</v>
      </c>
      <c r="C276" s="40" t="s">
        <v>279</v>
      </c>
      <c r="D276" s="40" t="s">
        <v>133</v>
      </c>
      <c r="E276" s="40" t="s">
        <v>290</v>
      </c>
      <c r="F276" s="40"/>
      <c r="G276" s="6">
        <f>'Пр.4 ведом.20'!G622</f>
        <v>3642.8160000000003</v>
      </c>
      <c r="H276" s="337">
        <f>'Пр.4 ведом.20'!H622</f>
        <v>3642.8148900000001</v>
      </c>
      <c r="I276" s="337">
        <f t="shared" si="153"/>
        <v>99.999969529067627</v>
      </c>
    </row>
    <row r="277" spans="1:9" s="210" customFormat="1" ht="31.5" x14ac:dyDescent="0.25">
      <c r="A277" s="29" t="s">
        <v>418</v>
      </c>
      <c r="B277" s="20" t="s">
        <v>1009</v>
      </c>
      <c r="C277" s="40" t="s">
        <v>279</v>
      </c>
      <c r="D277" s="40" t="s">
        <v>133</v>
      </c>
      <c r="E277" s="40" t="s">
        <v>290</v>
      </c>
      <c r="F277" s="40" t="s">
        <v>651</v>
      </c>
      <c r="G277" s="10">
        <f>G276</f>
        <v>3642.8160000000003</v>
      </c>
      <c r="H277" s="313">
        <f t="shared" ref="H277" si="155">H276</f>
        <v>3642.8148900000001</v>
      </c>
      <c r="I277" s="337">
        <f t="shared" si="153"/>
        <v>99.999969529067627</v>
      </c>
    </row>
    <row r="278" spans="1:9" s="210" customFormat="1" ht="31.5" x14ac:dyDescent="0.25">
      <c r="A278" s="224" t="s">
        <v>1075</v>
      </c>
      <c r="B278" s="24" t="s">
        <v>1010</v>
      </c>
      <c r="C278" s="7"/>
      <c r="D278" s="7"/>
      <c r="E278" s="7"/>
      <c r="F278" s="7"/>
      <c r="G278" s="4">
        <f>G279</f>
        <v>4108.8900000000003</v>
      </c>
      <c r="H278" s="4">
        <f t="shared" ref="H278" si="156">H279</f>
        <v>3753.9682599999996</v>
      </c>
      <c r="I278" s="4">
        <f t="shared" si="153"/>
        <v>91.362101686830243</v>
      </c>
    </row>
    <row r="279" spans="1:9" s="210" customFormat="1" ht="15.75" x14ac:dyDescent="0.25">
      <c r="A279" s="29" t="s">
        <v>278</v>
      </c>
      <c r="B279" s="40" t="s">
        <v>1010</v>
      </c>
      <c r="C279" s="40" t="s">
        <v>279</v>
      </c>
      <c r="D279" s="40"/>
      <c r="E279" s="40"/>
      <c r="F279" s="40"/>
      <c r="G279" s="10">
        <f t="shared" ref="G279:H279" si="157">G280</f>
        <v>4108.8900000000003</v>
      </c>
      <c r="H279" s="313">
        <f t="shared" si="157"/>
        <v>3753.9682599999996</v>
      </c>
      <c r="I279" s="337">
        <f t="shared" si="153"/>
        <v>91.362101686830243</v>
      </c>
    </row>
    <row r="280" spans="1:9" s="210" customFormat="1" ht="15.75" x14ac:dyDescent="0.25">
      <c r="A280" s="45" t="s">
        <v>419</v>
      </c>
      <c r="B280" s="40" t="s">
        <v>1010</v>
      </c>
      <c r="C280" s="40" t="s">
        <v>279</v>
      </c>
      <c r="D280" s="40" t="s">
        <v>133</v>
      </c>
      <c r="E280" s="40"/>
      <c r="F280" s="40"/>
      <c r="G280" s="10">
        <f>G281+G285+G289</f>
        <v>4108.8900000000003</v>
      </c>
      <c r="H280" s="313">
        <f t="shared" ref="H280" si="158">H281+H285+H289</f>
        <v>3753.9682599999996</v>
      </c>
      <c r="I280" s="337">
        <f t="shared" si="153"/>
        <v>91.362101686830243</v>
      </c>
    </row>
    <row r="281" spans="1:9" ht="31.7" customHeight="1" x14ac:dyDescent="0.25">
      <c r="A281" s="29" t="s">
        <v>299</v>
      </c>
      <c r="B281" s="20" t="s">
        <v>1011</v>
      </c>
      <c r="C281" s="40" t="s">
        <v>279</v>
      </c>
      <c r="D281" s="40" t="s">
        <v>133</v>
      </c>
      <c r="E281" s="40"/>
      <c r="F281" s="40"/>
      <c r="G281" s="10">
        <f t="shared" ref="G281:H282" si="159">G282</f>
        <v>56.78</v>
      </c>
      <c r="H281" s="313">
        <f t="shared" si="159"/>
        <v>56.779220000000002</v>
      </c>
      <c r="I281" s="337">
        <f t="shared" si="153"/>
        <v>99.998626276858047</v>
      </c>
    </row>
    <row r="282" spans="1:9" ht="31.7" customHeight="1" x14ac:dyDescent="0.25">
      <c r="A282" s="29" t="s">
        <v>287</v>
      </c>
      <c r="B282" s="20" t="s">
        <v>1011</v>
      </c>
      <c r="C282" s="40" t="s">
        <v>279</v>
      </c>
      <c r="D282" s="40" t="s">
        <v>133</v>
      </c>
      <c r="E282" s="40" t="s">
        <v>288</v>
      </c>
      <c r="F282" s="40"/>
      <c r="G282" s="10">
        <f t="shared" si="159"/>
        <v>56.78</v>
      </c>
      <c r="H282" s="313">
        <f t="shared" si="159"/>
        <v>56.779220000000002</v>
      </c>
      <c r="I282" s="337">
        <f t="shared" si="153"/>
        <v>99.998626276858047</v>
      </c>
    </row>
    <row r="283" spans="1:9" ht="15.75" customHeight="1" x14ac:dyDescent="0.25">
      <c r="A283" s="29" t="s">
        <v>289</v>
      </c>
      <c r="B283" s="20" t="s">
        <v>1011</v>
      </c>
      <c r="C283" s="40" t="s">
        <v>279</v>
      </c>
      <c r="D283" s="40" t="s">
        <v>133</v>
      </c>
      <c r="E283" s="40" t="s">
        <v>290</v>
      </c>
      <c r="F283" s="40"/>
      <c r="G283" s="10">
        <f>'Пр.4 ведом.20'!G626</f>
        <v>56.78</v>
      </c>
      <c r="H283" s="313">
        <f>'Пр.4 ведом.20'!H626</f>
        <v>56.779220000000002</v>
      </c>
      <c r="I283" s="337">
        <f t="shared" si="153"/>
        <v>99.998626276858047</v>
      </c>
    </row>
    <row r="284" spans="1:9" s="210" customFormat="1" ht="15.75" customHeight="1" x14ac:dyDescent="0.25">
      <c r="A284" s="29" t="s">
        <v>418</v>
      </c>
      <c r="B284" s="20" t="s">
        <v>1011</v>
      </c>
      <c r="C284" s="40" t="s">
        <v>279</v>
      </c>
      <c r="D284" s="40" t="s">
        <v>133</v>
      </c>
      <c r="E284" s="40" t="s">
        <v>290</v>
      </c>
      <c r="F284" s="40" t="s">
        <v>651</v>
      </c>
      <c r="G284" s="10">
        <f>G283</f>
        <v>56.78</v>
      </c>
      <c r="H284" s="313">
        <f t="shared" ref="H284" si="160">H283</f>
        <v>56.779220000000002</v>
      </c>
      <c r="I284" s="337">
        <f t="shared" si="153"/>
        <v>99.998626276858047</v>
      </c>
    </row>
    <row r="285" spans="1:9" ht="31.5" x14ac:dyDescent="0.25">
      <c r="A285" s="60" t="s">
        <v>785</v>
      </c>
      <c r="B285" s="20" t="s">
        <v>1012</v>
      </c>
      <c r="C285" s="20" t="s">
        <v>279</v>
      </c>
      <c r="D285" s="20" t="s">
        <v>133</v>
      </c>
      <c r="E285" s="20"/>
      <c r="F285" s="20"/>
      <c r="G285" s="10">
        <f t="shared" ref="G285:H286" si="161">G286</f>
        <v>2989.9</v>
      </c>
      <c r="H285" s="313">
        <f t="shared" si="161"/>
        <v>2698.9312</v>
      </c>
      <c r="I285" s="337">
        <f t="shared" si="153"/>
        <v>90.268276530987663</v>
      </c>
    </row>
    <row r="286" spans="1:9" ht="31.5" x14ac:dyDescent="0.25">
      <c r="A286" s="29" t="s">
        <v>287</v>
      </c>
      <c r="B286" s="20" t="s">
        <v>1012</v>
      </c>
      <c r="C286" s="20" t="s">
        <v>279</v>
      </c>
      <c r="D286" s="20" t="s">
        <v>133</v>
      </c>
      <c r="E286" s="20" t="s">
        <v>288</v>
      </c>
      <c r="F286" s="20"/>
      <c r="G286" s="10">
        <f t="shared" si="161"/>
        <v>2989.9</v>
      </c>
      <c r="H286" s="313">
        <f t="shared" si="161"/>
        <v>2698.9312</v>
      </c>
      <c r="I286" s="337">
        <f t="shared" si="153"/>
        <v>90.268276530987663</v>
      </c>
    </row>
    <row r="287" spans="1:9" ht="15.75" x14ac:dyDescent="0.25">
      <c r="A287" s="193" t="s">
        <v>289</v>
      </c>
      <c r="B287" s="20" t="s">
        <v>1012</v>
      </c>
      <c r="C287" s="20" t="s">
        <v>279</v>
      </c>
      <c r="D287" s="20" t="s">
        <v>133</v>
      </c>
      <c r="E287" s="20" t="s">
        <v>290</v>
      </c>
      <c r="F287" s="20"/>
      <c r="G287" s="10">
        <f>'Пр.4 ведом.20'!G629</f>
        <v>2989.9</v>
      </c>
      <c r="H287" s="313">
        <f>'Пр.4 ведом.20'!H629</f>
        <v>2698.9312</v>
      </c>
      <c r="I287" s="337">
        <f t="shared" si="153"/>
        <v>90.268276530987663</v>
      </c>
    </row>
    <row r="288" spans="1:9" s="210" customFormat="1" ht="31.5" x14ac:dyDescent="0.25">
      <c r="A288" s="29" t="s">
        <v>418</v>
      </c>
      <c r="B288" s="20" t="s">
        <v>1012</v>
      </c>
      <c r="C288" s="40" t="s">
        <v>279</v>
      </c>
      <c r="D288" s="40" t="s">
        <v>133</v>
      </c>
      <c r="E288" s="40" t="s">
        <v>290</v>
      </c>
      <c r="F288" s="40" t="s">
        <v>651</v>
      </c>
      <c r="G288" s="10">
        <f>G287</f>
        <v>2989.9</v>
      </c>
      <c r="H288" s="313">
        <f t="shared" ref="H288" si="162">H287</f>
        <v>2698.9312</v>
      </c>
      <c r="I288" s="337">
        <f t="shared" si="153"/>
        <v>90.268276530987663</v>
      </c>
    </row>
    <row r="289" spans="1:9" ht="47.25" x14ac:dyDescent="0.25">
      <c r="A289" s="60" t="s">
        <v>786</v>
      </c>
      <c r="B289" s="20" t="s">
        <v>1013</v>
      </c>
      <c r="C289" s="20" t="s">
        <v>279</v>
      </c>
      <c r="D289" s="20" t="s">
        <v>133</v>
      </c>
      <c r="E289" s="20"/>
      <c r="F289" s="20"/>
      <c r="G289" s="10">
        <f t="shared" ref="G289:H290" si="163">G290</f>
        <v>1062.21</v>
      </c>
      <c r="H289" s="313">
        <f t="shared" si="163"/>
        <v>998.25783999999999</v>
      </c>
      <c r="I289" s="337">
        <f t="shared" si="153"/>
        <v>93.979329887686987</v>
      </c>
    </row>
    <row r="290" spans="1:9" ht="31.5" x14ac:dyDescent="0.25">
      <c r="A290" s="29" t="s">
        <v>287</v>
      </c>
      <c r="B290" s="20" t="s">
        <v>1013</v>
      </c>
      <c r="C290" s="20" t="s">
        <v>279</v>
      </c>
      <c r="D290" s="20" t="s">
        <v>133</v>
      </c>
      <c r="E290" s="20" t="s">
        <v>288</v>
      </c>
      <c r="F290" s="20"/>
      <c r="G290" s="10">
        <f t="shared" si="163"/>
        <v>1062.21</v>
      </c>
      <c r="H290" s="313">
        <f t="shared" si="163"/>
        <v>998.25783999999999</v>
      </c>
      <c r="I290" s="337">
        <f t="shared" si="153"/>
        <v>93.979329887686987</v>
      </c>
    </row>
    <row r="291" spans="1:9" ht="15.75" x14ac:dyDescent="0.25">
      <c r="A291" s="193" t="s">
        <v>289</v>
      </c>
      <c r="B291" s="20" t="s">
        <v>1013</v>
      </c>
      <c r="C291" s="20" t="s">
        <v>279</v>
      </c>
      <c r="D291" s="20" t="s">
        <v>133</v>
      </c>
      <c r="E291" s="20" t="s">
        <v>290</v>
      </c>
      <c r="F291" s="20"/>
      <c r="G291" s="10">
        <f>'Пр.4 ведом.20'!G632</f>
        <v>1062.21</v>
      </c>
      <c r="H291" s="313">
        <f>'Пр.4 ведом.20'!H632</f>
        <v>998.25783999999999</v>
      </c>
      <c r="I291" s="337">
        <f t="shared" si="153"/>
        <v>93.979329887686987</v>
      </c>
    </row>
    <row r="292" spans="1:9" s="210" customFormat="1" ht="31.5" x14ac:dyDescent="0.25">
      <c r="A292" s="29" t="s">
        <v>418</v>
      </c>
      <c r="B292" s="20" t="s">
        <v>1013</v>
      </c>
      <c r="C292" s="40" t="s">
        <v>279</v>
      </c>
      <c r="D292" s="40" t="s">
        <v>133</v>
      </c>
      <c r="E292" s="40" t="s">
        <v>290</v>
      </c>
      <c r="F292" s="40" t="s">
        <v>651</v>
      </c>
      <c r="G292" s="10">
        <f>G291</f>
        <v>1062.21</v>
      </c>
      <c r="H292" s="313">
        <f t="shared" ref="H292" si="164">H291</f>
        <v>998.25783999999999</v>
      </c>
      <c r="I292" s="337">
        <f t="shared" si="153"/>
        <v>93.979329887686987</v>
      </c>
    </row>
    <row r="293" spans="1:9" s="210" customFormat="1" ht="63" x14ac:dyDescent="0.25">
      <c r="A293" s="23" t="s">
        <v>1014</v>
      </c>
      <c r="B293" s="24" t="s">
        <v>1015</v>
      </c>
      <c r="C293" s="24"/>
      <c r="D293" s="24"/>
      <c r="E293" s="24"/>
      <c r="F293" s="24"/>
      <c r="G293" s="59">
        <f>G294</f>
        <v>291.10000000000002</v>
      </c>
      <c r="H293" s="325">
        <f t="shared" ref="H293" si="165">H294</f>
        <v>15.21616</v>
      </c>
      <c r="I293" s="4">
        <f t="shared" si="153"/>
        <v>5.2271246994160077</v>
      </c>
    </row>
    <row r="294" spans="1:9" s="210" customFormat="1" ht="15.75" x14ac:dyDescent="0.25">
      <c r="A294" s="29" t="s">
        <v>278</v>
      </c>
      <c r="B294" s="40" t="s">
        <v>1015</v>
      </c>
      <c r="C294" s="40" t="s">
        <v>279</v>
      </c>
      <c r="D294" s="40"/>
      <c r="E294" s="40"/>
      <c r="F294" s="40"/>
      <c r="G294" s="10">
        <f t="shared" ref="G294:H294" si="166">G295</f>
        <v>291.10000000000002</v>
      </c>
      <c r="H294" s="313">
        <f t="shared" si="166"/>
        <v>15.21616</v>
      </c>
      <c r="I294" s="337">
        <f t="shared" si="153"/>
        <v>5.2271246994160077</v>
      </c>
    </row>
    <row r="295" spans="1:9" s="210" customFormat="1" ht="15.75" x14ac:dyDescent="0.25">
      <c r="A295" s="45" t="s">
        <v>419</v>
      </c>
      <c r="B295" s="40" t="s">
        <v>1015</v>
      </c>
      <c r="C295" s="40" t="s">
        <v>279</v>
      </c>
      <c r="D295" s="40" t="s">
        <v>133</v>
      </c>
      <c r="E295" s="40"/>
      <c r="F295" s="40"/>
      <c r="G295" s="10">
        <f>G296+G300</f>
        <v>291.10000000000002</v>
      </c>
      <c r="H295" s="313">
        <f t="shared" ref="H295" si="167">H296+H300</f>
        <v>15.21616</v>
      </c>
      <c r="I295" s="337">
        <f t="shared" si="153"/>
        <v>5.2271246994160077</v>
      </c>
    </row>
    <row r="296" spans="1:9" ht="130.69999999999999" customHeight="1" x14ac:dyDescent="0.25">
      <c r="A296" s="25" t="s">
        <v>1456</v>
      </c>
      <c r="B296" s="20" t="s">
        <v>1016</v>
      </c>
      <c r="C296" s="20" t="s">
        <v>279</v>
      </c>
      <c r="D296" s="20" t="s">
        <v>133</v>
      </c>
      <c r="E296" s="20"/>
      <c r="F296" s="20"/>
      <c r="G296" s="10">
        <f>G297</f>
        <v>124.4</v>
      </c>
      <c r="H296" s="313">
        <f t="shared" ref="H296:H297" si="168">H297</f>
        <v>0</v>
      </c>
      <c r="I296" s="337">
        <f t="shared" si="153"/>
        <v>0</v>
      </c>
    </row>
    <row r="297" spans="1:9" ht="31.5" x14ac:dyDescent="0.25">
      <c r="A297" s="25" t="s">
        <v>287</v>
      </c>
      <c r="B297" s="20" t="s">
        <v>1016</v>
      </c>
      <c r="C297" s="20" t="s">
        <v>279</v>
      </c>
      <c r="D297" s="20" t="s">
        <v>133</v>
      </c>
      <c r="E297" s="20" t="s">
        <v>288</v>
      </c>
      <c r="F297" s="20"/>
      <c r="G297" s="10">
        <f>G298</f>
        <v>124.4</v>
      </c>
      <c r="H297" s="313">
        <f t="shared" si="168"/>
        <v>0</v>
      </c>
      <c r="I297" s="337">
        <f t="shared" si="153"/>
        <v>0</v>
      </c>
    </row>
    <row r="298" spans="1:9" ht="15.75" x14ac:dyDescent="0.25">
      <c r="A298" s="25" t="s">
        <v>289</v>
      </c>
      <c r="B298" s="20" t="s">
        <v>1016</v>
      </c>
      <c r="C298" s="20" t="s">
        <v>279</v>
      </c>
      <c r="D298" s="20" t="s">
        <v>133</v>
      </c>
      <c r="E298" s="20" t="s">
        <v>290</v>
      </c>
      <c r="F298" s="20"/>
      <c r="G298" s="10">
        <f>'Пр.4 ведом.20'!G636</f>
        <v>124.4</v>
      </c>
      <c r="H298" s="313">
        <f>'Пр.4 ведом.20'!H636</f>
        <v>0</v>
      </c>
      <c r="I298" s="337">
        <f t="shared" si="153"/>
        <v>0</v>
      </c>
    </row>
    <row r="299" spans="1:9" s="210" customFormat="1" ht="31.5" x14ac:dyDescent="0.25">
      <c r="A299" s="29" t="s">
        <v>418</v>
      </c>
      <c r="B299" s="20" t="s">
        <v>1016</v>
      </c>
      <c r="C299" s="40" t="s">
        <v>279</v>
      </c>
      <c r="D299" s="40" t="s">
        <v>133</v>
      </c>
      <c r="E299" s="40" t="s">
        <v>290</v>
      </c>
      <c r="F299" s="40" t="s">
        <v>651</v>
      </c>
      <c r="G299" s="10">
        <f>G298</f>
        <v>124.4</v>
      </c>
      <c r="H299" s="313">
        <f t="shared" ref="H299" si="169">H298</f>
        <v>0</v>
      </c>
      <c r="I299" s="337">
        <f t="shared" si="153"/>
        <v>0</v>
      </c>
    </row>
    <row r="300" spans="1:9" s="210" customFormat="1" ht="126" x14ac:dyDescent="0.25">
      <c r="A300" s="25" t="s">
        <v>438</v>
      </c>
      <c r="B300" s="20" t="s">
        <v>1017</v>
      </c>
      <c r="C300" s="20" t="s">
        <v>279</v>
      </c>
      <c r="D300" s="20" t="s">
        <v>133</v>
      </c>
      <c r="E300" s="20"/>
      <c r="F300" s="20"/>
      <c r="G300" s="10">
        <f>G301</f>
        <v>166.7</v>
      </c>
      <c r="H300" s="313">
        <f t="shared" ref="H300:H301" si="170">H301</f>
        <v>15.21616</v>
      </c>
      <c r="I300" s="337">
        <f t="shared" si="153"/>
        <v>9.1278704259148178</v>
      </c>
    </row>
    <row r="301" spans="1:9" s="210" customFormat="1" ht="31.5" x14ac:dyDescent="0.25">
      <c r="A301" s="25" t="s">
        <v>287</v>
      </c>
      <c r="B301" s="20" t="s">
        <v>1017</v>
      </c>
      <c r="C301" s="20" t="s">
        <v>279</v>
      </c>
      <c r="D301" s="20" t="s">
        <v>133</v>
      </c>
      <c r="E301" s="20" t="s">
        <v>288</v>
      </c>
      <c r="F301" s="20"/>
      <c r="G301" s="10">
        <f>G302</f>
        <v>166.7</v>
      </c>
      <c r="H301" s="313">
        <f t="shared" si="170"/>
        <v>15.21616</v>
      </c>
      <c r="I301" s="337">
        <f t="shared" si="153"/>
        <v>9.1278704259148178</v>
      </c>
    </row>
    <row r="302" spans="1:9" s="210" customFormat="1" ht="15.75" x14ac:dyDescent="0.25">
      <c r="A302" s="25" t="s">
        <v>289</v>
      </c>
      <c r="B302" s="20" t="s">
        <v>1017</v>
      </c>
      <c r="C302" s="20" t="s">
        <v>279</v>
      </c>
      <c r="D302" s="20" t="s">
        <v>133</v>
      </c>
      <c r="E302" s="20" t="s">
        <v>290</v>
      </c>
      <c r="F302" s="20"/>
      <c r="G302" s="10">
        <f>'Пр.3 Рд,пр, ЦС,ВР 20'!F584</f>
        <v>166.7</v>
      </c>
      <c r="H302" s="313">
        <f>'Пр.3 Рд,пр, ЦС,ВР 20'!G584</f>
        <v>15.21616</v>
      </c>
      <c r="I302" s="337">
        <f t="shared" si="153"/>
        <v>9.1278704259148178</v>
      </c>
    </row>
    <row r="303" spans="1:9" s="210" customFormat="1" ht="31.5" x14ac:dyDescent="0.25">
      <c r="A303" s="29" t="s">
        <v>418</v>
      </c>
      <c r="B303" s="20" t="s">
        <v>1017</v>
      </c>
      <c r="C303" s="40" t="s">
        <v>279</v>
      </c>
      <c r="D303" s="40" t="s">
        <v>133</v>
      </c>
      <c r="E303" s="40" t="s">
        <v>290</v>
      </c>
      <c r="F303" s="40" t="s">
        <v>651</v>
      </c>
      <c r="G303" s="10">
        <f>G302</f>
        <v>166.7</v>
      </c>
      <c r="H303" s="313">
        <f t="shared" ref="H303" si="171">H302</f>
        <v>15.21616</v>
      </c>
      <c r="I303" s="337">
        <f t="shared" si="153"/>
        <v>9.1278704259148178</v>
      </c>
    </row>
    <row r="304" spans="1:9" s="210" customFormat="1" ht="94.5" x14ac:dyDescent="0.25">
      <c r="A304" s="23" t="s">
        <v>1393</v>
      </c>
      <c r="B304" s="24" t="s">
        <v>1391</v>
      </c>
      <c r="C304" s="24"/>
      <c r="D304" s="24"/>
      <c r="E304" s="40"/>
      <c r="F304" s="40"/>
      <c r="G304" s="59">
        <f>G305</f>
        <v>1737.8999999999999</v>
      </c>
      <c r="H304" s="325">
        <f t="shared" ref="H304:H305" si="172">H305</f>
        <v>343.76949999999999</v>
      </c>
      <c r="I304" s="4">
        <f t="shared" si="153"/>
        <v>19.780741124345475</v>
      </c>
    </row>
    <row r="305" spans="1:9" s="210" customFormat="1" ht="15.75" x14ac:dyDescent="0.25">
      <c r="A305" s="29" t="s">
        <v>278</v>
      </c>
      <c r="B305" s="20" t="s">
        <v>1391</v>
      </c>
      <c r="C305" s="20" t="s">
        <v>279</v>
      </c>
      <c r="D305" s="20"/>
      <c r="E305" s="40"/>
      <c r="F305" s="40"/>
      <c r="G305" s="10">
        <f>G306</f>
        <v>1737.8999999999999</v>
      </c>
      <c r="H305" s="313">
        <f t="shared" si="172"/>
        <v>343.76949999999999</v>
      </c>
      <c r="I305" s="337">
        <f t="shared" si="153"/>
        <v>19.780741124345475</v>
      </c>
    </row>
    <row r="306" spans="1:9" s="210" customFormat="1" ht="15.75" x14ac:dyDescent="0.25">
      <c r="A306" s="45" t="s">
        <v>419</v>
      </c>
      <c r="B306" s="20" t="s">
        <v>1391</v>
      </c>
      <c r="C306" s="20" t="s">
        <v>279</v>
      </c>
      <c r="D306" s="20" t="s">
        <v>133</v>
      </c>
      <c r="E306" s="40"/>
      <c r="F306" s="40"/>
      <c r="G306" s="10">
        <f>G307+G311</f>
        <v>1737.8999999999999</v>
      </c>
      <c r="H306" s="313">
        <f t="shared" ref="H306" si="173">H307+H311</f>
        <v>343.76949999999999</v>
      </c>
      <c r="I306" s="337">
        <f t="shared" si="153"/>
        <v>19.780741124345475</v>
      </c>
    </row>
    <row r="307" spans="1:9" s="210" customFormat="1" ht="88.5" customHeight="1" x14ac:dyDescent="0.25">
      <c r="A307" s="151" t="s">
        <v>1457</v>
      </c>
      <c r="B307" s="20" t="s">
        <v>1395</v>
      </c>
      <c r="C307" s="20" t="s">
        <v>279</v>
      </c>
      <c r="D307" s="20" t="s">
        <v>133</v>
      </c>
      <c r="E307" s="40"/>
      <c r="F307" s="40"/>
      <c r="G307" s="10">
        <f>G308</f>
        <v>71.3</v>
      </c>
      <c r="H307" s="313">
        <f t="shared" ref="H307:H308" si="174">H308</f>
        <v>0</v>
      </c>
      <c r="I307" s="337">
        <f t="shared" si="153"/>
        <v>0</v>
      </c>
    </row>
    <row r="308" spans="1:9" s="210" customFormat="1" ht="31.5" x14ac:dyDescent="0.25">
      <c r="A308" s="25" t="s">
        <v>287</v>
      </c>
      <c r="B308" s="20" t="s">
        <v>1395</v>
      </c>
      <c r="C308" s="20" t="s">
        <v>279</v>
      </c>
      <c r="D308" s="20" t="s">
        <v>133</v>
      </c>
      <c r="E308" s="20" t="s">
        <v>288</v>
      </c>
      <c r="F308" s="40"/>
      <c r="G308" s="10">
        <f>G309</f>
        <v>71.3</v>
      </c>
      <c r="H308" s="313">
        <f t="shared" si="174"/>
        <v>0</v>
      </c>
      <c r="I308" s="337">
        <f t="shared" si="153"/>
        <v>0</v>
      </c>
    </row>
    <row r="309" spans="1:9" s="210" customFormat="1" ht="15.75" x14ac:dyDescent="0.25">
      <c r="A309" s="25" t="s">
        <v>289</v>
      </c>
      <c r="B309" s="20" t="s">
        <v>1395</v>
      </c>
      <c r="C309" s="20" t="s">
        <v>279</v>
      </c>
      <c r="D309" s="20" t="s">
        <v>133</v>
      </c>
      <c r="E309" s="20" t="s">
        <v>290</v>
      </c>
      <c r="F309" s="40"/>
      <c r="G309" s="10">
        <f>'Пр.4 ведом.20'!G643</f>
        <v>71.3</v>
      </c>
      <c r="H309" s="313">
        <f>'Пр.4 ведом.20'!H643</f>
        <v>0</v>
      </c>
      <c r="I309" s="337">
        <f t="shared" si="153"/>
        <v>0</v>
      </c>
    </row>
    <row r="310" spans="1:9" s="210" customFormat="1" ht="31.5" x14ac:dyDescent="0.25">
      <c r="A310" s="29" t="s">
        <v>418</v>
      </c>
      <c r="B310" s="20" t="s">
        <v>1395</v>
      </c>
      <c r="C310" s="20" t="s">
        <v>279</v>
      </c>
      <c r="D310" s="20" t="s">
        <v>133</v>
      </c>
      <c r="E310" s="20" t="s">
        <v>290</v>
      </c>
      <c r="F310" s="40" t="s">
        <v>651</v>
      </c>
      <c r="G310" s="10">
        <f>G305</f>
        <v>1737.8999999999999</v>
      </c>
      <c r="H310" s="313">
        <f t="shared" ref="H310" si="175">H305</f>
        <v>343.76949999999999</v>
      </c>
      <c r="I310" s="337">
        <f t="shared" si="153"/>
        <v>19.780741124345475</v>
      </c>
    </row>
    <row r="311" spans="1:9" s="210" customFormat="1" ht="94.5" x14ac:dyDescent="0.25">
      <c r="A311" s="151" t="s">
        <v>1392</v>
      </c>
      <c r="B311" s="20" t="s">
        <v>1394</v>
      </c>
      <c r="C311" s="20" t="s">
        <v>279</v>
      </c>
      <c r="D311" s="20" t="s">
        <v>133</v>
      </c>
      <c r="E311" s="20"/>
      <c r="F311" s="40"/>
      <c r="G311" s="10">
        <f>G312</f>
        <v>1666.6</v>
      </c>
      <c r="H311" s="313">
        <f t="shared" ref="H311:H312" si="176">H312</f>
        <v>343.76949999999999</v>
      </c>
      <c r="I311" s="337">
        <f t="shared" si="153"/>
        <v>20.626995079803194</v>
      </c>
    </row>
    <row r="312" spans="1:9" s="210" customFormat="1" ht="31.5" x14ac:dyDescent="0.25">
      <c r="A312" s="25" t="s">
        <v>287</v>
      </c>
      <c r="B312" s="20" t="s">
        <v>1394</v>
      </c>
      <c r="C312" s="20" t="s">
        <v>279</v>
      </c>
      <c r="D312" s="20" t="s">
        <v>133</v>
      </c>
      <c r="E312" s="20" t="s">
        <v>288</v>
      </c>
      <c r="F312" s="40"/>
      <c r="G312" s="10">
        <f>G313</f>
        <v>1666.6</v>
      </c>
      <c r="H312" s="313">
        <f t="shared" si="176"/>
        <v>343.76949999999999</v>
      </c>
      <c r="I312" s="337">
        <f t="shared" si="153"/>
        <v>20.626995079803194</v>
      </c>
    </row>
    <row r="313" spans="1:9" s="210" customFormat="1" ht="15.75" x14ac:dyDescent="0.25">
      <c r="A313" s="25" t="s">
        <v>289</v>
      </c>
      <c r="B313" s="20" t="s">
        <v>1394</v>
      </c>
      <c r="C313" s="20" t="s">
        <v>279</v>
      </c>
      <c r="D313" s="20" t="s">
        <v>133</v>
      </c>
      <c r="E313" s="20" t="s">
        <v>290</v>
      </c>
      <c r="F313" s="40"/>
      <c r="G313" s="10">
        <f>'Пр.4 ведом.20'!G646</f>
        <v>1666.6</v>
      </c>
      <c r="H313" s="313">
        <f>'Пр.4 ведом.20'!H646</f>
        <v>343.76949999999999</v>
      </c>
      <c r="I313" s="337">
        <f t="shared" si="153"/>
        <v>20.626995079803194</v>
      </c>
    </row>
    <row r="314" spans="1:9" s="210" customFormat="1" ht="31.5" x14ac:dyDescent="0.25">
      <c r="A314" s="29" t="s">
        <v>418</v>
      </c>
      <c r="B314" s="20" t="s">
        <v>1394</v>
      </c>
      <c r="C314" s="20" t="s">
        <v>279</v>
      </c>
      <c r="D314" s="20" t="s">
        <v>133</v>
      </c>
      <c r="E314" s="20" t="s">
        <v>290</v>
      </c>
      <c r="F314" s="40" t="s">
        <v>651</v>
      </c>
      <c r="G314" s="10">
        <f>G311</f>
        <v>1666.6</v>
      </c>
      <c r="H314" s="313">
        <f t="shared" ref="H314" si="177">H311</f>
        <v>343.76949999999999</v>
      </c>
      <c r="I314" s="337">
        <f t="shared" si="153"/>
        <v>20.626995079803194</v>
      </c>
    </row>
    <row r="315" spans="1:9" ht="31.5" x14ac:dyDescent="0.25">
      <c r="A315" s="41" t="s">
        <v>445</v>
      </c>
      <c r="B315" s="7" t="s">
        <v>446</v>
      </c>
      <c r="C315" s="7"/>
      <c r="D315" s="7"/>
      <c r="E315" s="7"/>
      <c r="F315" s="7"/>
      <c r="G315" s="4">
        <f>G316+G335+G346+G357+G368+G412+G379+G390+G401</f>
        <v>16389.767</v>
      </c>
      <c r="H315" s="4">
        <f t="shared" ref="H315" si="178">H316+H335+H346+H357+H368+H412+H379+H390+H401</f>
        <v>14618.50578</v>
      </c>
      <c r="I315" s="4">
        <f t="shared" si="153"/>
        <v>89.192883461979662</v>
      </c>
    </row>
    <row r="316" spans="1:9" s="210" customFormat="1" ht="31.5" x14ac:dyDescent="0.25">
      <c r="A316" s="23" t="s">
        <v>1027</v>
      </c>
      <c r="B316" s="24" t="s">
        <v>1028</v>
      </c>
      <c r="C316" s="7"/>
      <c r="D316" s="7"/>
      <c r="E316" s="7"/>
      <c r="F316" s="7"/>
      <c r="G316" s="4">
        <f>G317</f>
        <v>2274.9139999999998</v>
      </c>
      <c r="H316" s="4">
        <f t="shared" ref="H316" si="179">H317</f>
        <v>2219.5150000000003</v>
      </c>
      <c r="I316" s="4">
        <f t="shared" si="153"/>
        <v>97.564787064478068</v>
      </c>
    </row>
    <row r="317" spans="1:9" ht="15.75" x14ac:dyDescent="0.25">
      <c r="A317" s="29" t="s">
        <v>278</v>
      </c>
      <c r="B317" s="40" t="s">
        <v>1028</v>
      </c>
      <c r="C317" s="40" t="s">
        <v>279</v>
      </c>
      <c r="D317" s="40"/>
      <c r="E317" s="40"/>
      <c r="F317" s="40"/>
      <c r="G317" s="10">
        <f t="shared" ref="G317:H317" si="180">G318</f>
        <v>2274.9139999999998</v>
      </c>
      <c r="H317" s="313">
        <f t="shared" si="180"/>
        <v>2219.5150000000003</v>
      </c>
      <c r="I317" s="337">
        <f t="shared" si="153"/>
        <v>97.564787064478068</v>
      </c>
    </row>
    <row r="318" spans="1:9" ht="15.75" x14ac:dyDescent="0.25">
      <c r="A318" s="29" t="s">
        <v>440</v>
      </c>
      <c r="B318" s="40" t="s">
        <v>1028</v>
      </c>
      <c r="C318" s="40" t="s">
        <v>279</v>
      </c>
      <c r="D318" s="40" t="s">
        <v>228</v>
      </c>
      <c r="E318" s="40"/>
      <c r="F318" s="40"/>
      <c r="G318" s="10">
        <f>G319+G323+G327+G331</f>
        <v>2274.9139999999998</v>
      </c>
      <c r="H318" s="313">
        <f t="shared" ref="H318" si="181">H319+H323+H327+H331</f>
        <v>2219.5150000000003</v>
      </c>
      <c r="I318" s="337">
        <f t="shared" si="153"/>
        <v>97.564787064478068</v>
      </c>
    </row>
    <row r="319" spans="1:9" ht="47.25" hidden="1" x14ac:dyDescent="0.25">
      <c r="A319" s="25" t="s">
        <v>811</v>
      </c>
      <c r="B319" s="20" t="s">
        <v>1032</v>
      </c>
      <c r="C319" s="40" t="s">
        <v>279</v>
      </c>
      <c r="D319" s="40" t="s">
        <v>228</v>
      </c>
      <c r="E319" s="40"/>
      <c r="F319" s="40"/>
      <c r="G319" s="6">
        <f>G320</f>
        <v>0</v>
      </c>
      <c r="H319" s="337">
        <f t="shared" ref="H319:H320" si="182">H320</f>
        <v>0</v>
      </c>
      <c r="I319" s="337" t="e">
        <f t="shared" si="153"/>
        <v>#DIV/0!</v>
      </c>
    </row>
    <row r="320" spans="1:9" ht="31.5" hidden="1" x14ac:dyDescent="0.25">
      <c r="A320" s="25" t="s">
        <v>287</v>
      </c>
      <c r="B320" s="20" t="s">
        <v>1032</v>
      </c>
      <c r="C320" s="40" t="s">
        <v>279</v>
      </c>
      <c r="D320" s="40" t="s">
        <v>228</v>
      </c>
      <c r="E320" s="40" t="s">
        <v>288</v>
      </c>
      <c r="F320" s="40"/>
      <c r="G320" s="6">
        <f>G321</f>
        <v>0</v>
      </c>
      <c r="H320" s="337">
        <f t="shared" si="182"/>
        <v>0</v>
      </c>
      <c r="I320" s="337" t="e">
        <f t="shared" si="153"/>
        <v>#DIV/0!</v>
      </c>
    </row>
    <row r="321" spans="1:9" ht="15.75" hidden="1" x14ac:dyDescent="0.25">
      <c r="A321" s="25" t="s">
        <v>289</v>
      </c>
      <c r="B321" s="20" t="s">
        <v>1032</v>
      </c>
      <c r="C321" s="40" t="s">
        <v>279</v>
      </c>
      <c r="D321" s="40" t="s">
        <v>228</v>
      </c>
      <c r="E321" s="40" t="s">
        <v>290</v>
      </c>
      <c r="F321" s="40"/>
      <c r="G321" s="6">
        <f>'Пр.4 ведом.20'!G696</f>
        <v>0</v>
      </c>
      <c r="H321" s="337">
        <f>'Пр.4 ведом.20'!H696</f>
        <v>0</v>
      </c>
      <c r="I321" s="337" t="e">
        <f t="shared" si="153"/>
        <v>#DIV/0!</v>
      </c>
    </row>
    <row r="322" spans="1:9" s="210" customFormat="1" ht="31.5" hidden="1" x14ac:dyDescent="0.25">
      <c r="A322" s="29" t="s">
        <v>418</v>
      </c>
      <c r="B322" s="20" t="s">
        <v>1032</v>
      </c>
      <c r="C322" s="40" t="s">
        <v>279</v>
      </c>
      <c r="D322" s="40" t="s">
        <v>228</v>
      </c>
      <c r="E322" s="40" t="s">
        <v>290</v>
      </c>
      <c r="F322" s="40" t="s">
        <v>651</v>
      </c>
      <c r="G322" s="10">
        <f>G321</f>
        <v>0</v>
      </c>
      <c r="H322" s="313">
        <f t="shared" ref="H322" si="183">H321</f>
        <v>0</v>
      </c>
      <c r="I322" s="337" t="e">
        <f t="shared" si="153"/>
        <v>#DIV/0!</v>
      </c>
    </row>
    <row r="323" spans="1:9" ht="31.5" x14ac:dyDescent="0.25">
      <c r="A323" s="25" t="s">
        <v>293</v>
      </c>
      <c r="B323" s="20" t="s">
        <v>1033</v>
      </c>
      <c r="C323" s="40" t="s">
        <v>279</v>
      </c>
      <c r="D323" s="40" t="s">
        <v>228</v>
      </c>
      <c r="E323" s="40"/>
      <c r="F323" s="40"/>
      <c r="G323" s="6">
        <f t="shared" ref="G323:H324" si="184">G324</f>
        <v>1322</v>
      </c>
      <c r="H323" s="337">
        <f t="shared" si="184"/>
        <v>1322</v>
      </c>
      <c r="I323" s="337">
        <f t="shared" si="153"/>
        <v>100</v>
      </c>
    </row>
    <row r="324" spans="1:9" ht="31.5" x14ac:dyDescent="0.25">
      <c r="A324" s="25" t="s">
        <v>287</v>
      </c>
      <c r="B324" s="20" t="s">
        <v>1033</v>
      </c>
      <c r="C324" s="40" t="s">
        <v>279</v>
      </c>
      <c r="D324" s="40" t="s">
        <v>228</v>
      </c>
      <c r="E324" s="40" t="s">
        <v>288</v>
      </c>
      <c r="F324" s="40"/>
      <c r="G324" s="6">
        <f t="shared" si="184"/>
        <v>1322</v>
      </c>
      <c r="H324" s="337">
        <f t="shared" si="184"/>
        <v>1322</v>
      </c>
      <c r="I324" s="337">
        <f t="shared" si="153"/>
        <v>100</v>
      </c>
    </row>
    <row r="325" spans="1:9" ht="15.75" x14ac:dyDescent="0.25">
      <c r="A325" s="25" t="s">
        <v>289</v>
      </c>
      <c r="B325" s="20" t="s">
        <v>1033</v>
      </c>
      <c r="C325" s="40" t="s">
        <v>279</v>
      </c>
      <c r="D325" s="40" t="s">
        <v>228</v>
      </c>
      <c r="E325" s="40" t="s">
        <v>290</v>
      </c>
      <c r="F325" s="40"/>
      <c r="G325" s="6">
        <f>'Пр.4 ведом.20'!G699</f>
        <v>1322</v>
      </c>
      <c r="H325" s="337">
        <f>'Пр.4 ведом.20'!H699</f>
        <v>1322</v>
      </c>
      <c r="I325" s="337">
        <f t="shared" si="153"/>
        <v>100</v>
      </c>
    </row>
    <row r="326" spans="1:9" s="210" customFormat="1" ht="31.5" x14ac:dyDescent="0.25">
      <c r="A326" s="29" t="s">
        <v>418</v>
      </c>
      <c r="B326" s="20" t="s">
        <v>1033</v>
      </c>
      <c r="C326" s="40" t="s">
        <v>279</v>
      </c>
      <c r="D326" s="40" t="s">
        <v>228</v>
      </c>
      <c r="E326" s="40" t="s">
        <v>290</v>
      </c>
      <c r="F326" s="40" t="s">
        <v>651</v>
      </c>
      <c r="G326" s="10">
        <f>G325</f>
        <v>1322</v>
      </c>
      <c r="H326" s="313">
        <f t="shared" ref="H326" si="185">H325</f>
        <v>1322</v>
      </c>
      <c r="I326" s="337">
        <f t="shared" si="153"/>
        <v>100</v>
      </c>
    </row>
    <row r="327" spans="1:9" ht="31.7" customHeight="1" x14ac:dyDescent="0.25">
      <c r="A327" s="25" t="s">
        <v>295</v>
      </c>
      <c r="B327" s="20" t="s">
        <v>1034</v>
      </c>
      <c r="C327" s="40" t="s">
        <v>279</v>
      </c>
      <c r="D327" s="40" t="s">
        <v>228</v>
      </c>
      <c r="E327" s="40"/>
      <c r="F327" s="40"/>
      <c r="G327" s="6">
        <f t="shared" ref="G327:H328" si="186">G328</f>
        <v>748.91399999999999</v>
      </c>
      <c r="H327" s="337">
        <f t="shared" si="186"/>
        <v>744.71500000000003</v>
      </c>
      <c r="I327" s="337">
        <f t="shared" si="153"/>
        <v>99.439321470823089</v>
      </c>
    </row>
    <row r="328" spans="1:9" ht="31.7" customHeight="1" x14ac:dyDescent="0.25">
      <c r="A328" s="25" t="s">
        <v>287</v>
      </c>
      <c r="B328" s="20" t="s">
        <v>1034</v>
      </c>
      <c r="C328" s="40" t="s">
        <v>279</v>
      </c>
      <c r="D328" s="40" t="s">
        <v>228</v>
      </c>
      <c r="E328" s="40" t="s">
        <v>288</v>
      </c>
      <c r="F328" s="40"/>
      <c r="G328" s="6">
        <f t="shared" si="186"/>
        <v>748.91399999999999</v>
      </c>
      <c r="H328" s="337">
        <f t="shared" si="186"/>
        <v>744.71500000000003</v>
      </c>
      <c r="I328" s="337">
        <f t="shared" si="153"/>
        <v>99.439321470823089</v>
      </c>
    </row>
    <row r="329" spans="1:9" ht="15.75" customHeight="1" x14ac:dyDescent="0.25">
      <c r="A329" s="25" t="s">
        <v>289</v>
      </c>
      <c r="B329" s="20" t="s">
        <v>1034</v>
      </c>
      <c r="C329" s="40" t="s">
        <v>279</v>
      </c>
      <c r="D329" s="40" t="s">
        <v>228</v>
      </c>
      <c r="E329" s="40" t="s">
        <v>290</v>
      </c>
      <c r="F329" s="40"/>
      <c r="G329" s="6">
        <f>'Пр.4 ведом.20'!G702</f>
        <v>748.91399999999999</v>
      </c>
      <c r="H329" s="337">
        <f>'Пр.4 ведом.20'!H702</f>
        <v>744.71500000000003</v>
      </c>
      <c r="I329" s="337">
        <f t="shared" si="153"/>
        <v>99.439321470823089</v>
      </c>
    </row>
    <row r="330" spans="1:9" s="210" customFormat="1" ht="15.75" customHeight="1" x14ac:dyDescent="0.25">
      <c r="A330" s="29" t="s">
        <v>418</v>
      </c>
      <c r="B330" s="20" t="s">
        <v>1034</v>
      </c>
      <c r="C330" s="40" t="s">
        <v>279</v>
      </c>
      <c r="D330" s="40" t="s">
        <v>228</v>
      </c>
      <c r="E330" s="40" t="s">
        <v>290</v>
      </c>
      <c r="F330" s="40" t="s">
        <v>651</v>
      </c>
      <c r="G330" s="10">
        <f>G329</f>
        <v>748.91399999999999</v>
      </c>
      <c r="H330" s="313">
        <f t="shared" ref="H330" si="187">H329</f>
        <v>744.71500000000003</v>
      </c>
      <c r="I330" s="337">
        <f t="shared" si="153"/>
        <v>99.439321470823089</v>
      </c>
    </row>
    <row r="331" spans="1:9" ht="31.5" x14ac:dyDescent="0.25">
      <c r="A331" s="29" t="s">
        <v>297</v>
      </c>
      <c r="B331" s="20" t="s">
        <v>1035</v>
      </c>
      <c r="C331" s="40" t="s">
        <v>279</v>
      </c>
      <c r="D331" s="40" t="s">
        <v>228</v>
      </c>
      <c r="E331" s="40"/>
      <c r="F331" s="40"/>
      <c r="G331" s="10">
        <f t="shared" ref="G331:H332" si="188">G332</f>
        <v>203.99999999999997</v>
      </c>
      <c r="H331" s="313">
        <f t="shared" si="188"/>
        <v>152.80000000000001</v>
      </c>
      <c r="I331" s="337">
        <f t="shared" si="153"/>
        <v>74.901960784313744</v>
      </c>
    </row>
    <row r="332" spans="1:9" ht="31.5" x14ac:dyDescent="0.25">
      <c r="A332" s="29" t="s">
        <v>287</v>
      </c>
      <c r="B332" s="20" t="s">
        <v>1035</v>
      </c>
      <c r="C332" s="40" t="s">
        <v>279</v>
      </c>
      <c r="D332" s="40" t="s">
        <v>228</v>
      </c>
      <c r="E332" s="40" t="s">
        <v>288</v>
      </c>
      <c r="F332" s="40"/>
      <c r="G332" s="10">
        <f t="shared" si="188"/>
        <v>203.99999999999997</v>
      </c>
      <c r="H332" s="313">
        <f t="shared" si="188"/>
        <v>152.80000000000001</v>
      </c>
      <c r="I332" s="337">
        <f t="shared" si="153"/>
        <v>74.901960784313744</v>
      </c>
    </row>
    <row r="333" spans="1:9" ht="21.75" customHeight="1" x14ac:dyDescent="0.25">
      <c r="A333" s="29" t="s">
        <v>289</v>
      </c>
      <c r="B333" s="20" t="s">
        <v>1035</v>
      </c>
      <c r="C333" s="40" t="s">
        <v>279</v>
      </c>
      <c r="D333" s="40" t="s">
        <v>228</v>
      </c>
      <c r="E333" s="40" t="s">
        <v>290</v>
      </c>
      <c r="F333" s="40"/>
      <c r="G333" s="10">
        <f>'Пр.4 ведом.20'!G705</f>
        <v>203.99999999999997</v>
      </c>
      <c r="H333" s="313">
        <f>'Пр.4 ведом.20'!H705</f>
        <v>152.80000000000001</v>
      </c>
      <c r="I333" s="337">
        <f t="shared" si="153"/>
        <v>74.901960784313744</v>
      </c>
    </row>
    <row r="334" spans="1:9" s="210" customFormat="1" ht="33" customHeight="1" x14ac:dyDescent="0.25">
      <c r="A334" s="29" t="s">
        <v>418</v>
      </c>
      <c r="B334" s="20" t="s">
        <v>1035</v>
      </c>
      <c r="C334" s="40" t="s">
        <v>279</v>
      </c>
      <c r="D334" s="40" t="s">
        <v>228</v>
      </c>
      <c r="E334" s="40" t="s">
        <v>290</v>
      </c>
      <c r="F334" s="40" t="s">
        <v>651</v>
      </c>
      <c r="G334" s="10">
        <f>G333</f>
        <v>203.99999999999997</v>
      </c>
      <c r="H334" s="313">
        <f t="shared" ref="H334" si="189">H333</f>
        <v>152.80000000000001</v>
      </c>
      <c r="I334" s="337">
        <f t="shared" si="153"/>
        <v>74.901960784313744</v>
      </c>
    </row>
    <row r="335" spans="1:9" s="210" customFormat="1" ht="33" customHeight="1" x14ac:dyDescent="0.25">
      <c r="A335" s="23" t="s">
        <v>1029</v>
      </c>
      <c r="B335" s="24" t="s">
        <v>1030</v>
      </c>
      <c r="C335" s="7"/>
      <c r="D335" s="7"/>
      <c r="E335" s="7"/>
      <c r="F335" s="7"/>
      <c r="G335" s="59">
        <f>G338+G342</f>
        <v>3117.88</v>
      </c>
      <c r="H335" s="325">
        <f t="shared" ref="H335" si="190">H338+H342</f>
        <v>2110.8838500000002</v>
      </c>
      <c r="I335" s="4">
        <f t="shared" si="153"/>
        <v>67.702536659525066</v>
      </c>
    </row>
    <row r="336" spans="1:9" s="210" customFormat="1" ht="17.45" customHeight="1" x14ac:dyDescent="0.25">
      <c r="A336" s="29" t="s">
        <v>278</v>
      </c>
      <c r="B336" s="40" t="s">
        <v>1030</v>
      </c>
      <c r="C336" s="40" t="s">
        <v>279</v>
      </c>
      <c r="D336" s="40"/>
      <c r="E336" s="40"/>
      <c r="F336" s="40"/>
      <c r="G336" s="10">
        <f t="shared" ref="G336:H336" si="191">G337</f>
        <v>3117.88</v>
      </c>
      <c r="H336" s="313">
        <f t="shared" si="191"/>
        <v>2110.8838500000002</v>
      </c>
      <c r="I336" s="337">
        <f t="shared" si="153"/>
        <v>67.702536659525066</v>
      </c>
    </row>
    <row r="337" spans="1:9" s="210" customFormat="1" ht="15.75" customHeight="1" x14ac:dyDescent="0.25">
      <c r="A337" s="29" t="s">
        <v>440</v>
      </c>
      <c r="B337" s="40" t="s">
        <v>1030</v>
      </c>
      <c r="C337" s="40" t="s">
        <v>279</v>
      </c>
      <c r="D337" s="40" t="s">
        <v>228</v>
      </c>
      <c r="E337" s="40"/>
      <c r="F337" s="40"/>
      <c r="G337" s="10">
        <f>G338+G342</f>
        <v>3117.88</v>
      </c>
      <c r="H337" s="313">
        <f t="shared" ref="H337" si="192">H338+H342</f>
        <v>2110.8838500000002</v>
      </c>
      <c r="I337" s="337">
        <f t="shared" ref="I337:I400" si="193">H337/G337*100</f>
        <v>67.702536659525066</v>
      </c>
    </row>
    <row r="338" spans="1:9" s="210" customFormat="1" ht="47.25" customHeight="1" x14ac:dyDescent="0.25">
      <c r="A338" s="29" t="s">
        <v>617</v>
      </c>
      <c r="B338" s="20" t="s">
        <v>1036</v>
      </c>
      <c r="C338" s="40" t="s">
        <v>279</v>
      </c>
      <c r="D338" s="40" t="s">
        <v>228</v>
      </c>
      <c r="E338" s="40"/>
      <c r="F338" s="40"/>
      <c r="G338" s="10">
        <f t="shared" ref="G338:H339" si="194">G339</f>
        <v>1452.6799999999998</v>
      </c>
      <c r="H338" s="313">
        <f t="shared" si="194"/>
        <v>1028.249</v>
      </c>
      <c r="I338" s="337">
        <f t="shared" si="193"/>
        <v>70.782897816449605</v>
      </c>
    </row>
    <row r="339" spans="1:9" s="210" customFormat="1" ht="36.75" customHeight="1" x14ac:dyDescent="0.25">
      <c r="A339" s="29" t="s">
        <v>287</v>
      </c>
      <c r="B339" s="20" t="s">
        <v>1036</v>
      </c>
      <c r="C339" s="40" t="s">
        <v>279</v>
      </c>
      <c r="D339" s="40" t="s">
        <v>228</v>
      </c>
      <c r="E339" s="40" t="s">
        <v>288</v>
      </c>
      <c r="F339" s="40"/>
      <c r="G339" s="10">
        <f t="shared" si="194"/>
        <v>1452.6799999999998</v>
      </c>
      <c r="H339" s="313">
        <f t="shared" si="194"/>
        <v>1028.249</v>
      </c>
      <c r="I339" s="337">
        <f t="shared" si="193"/>
        <v>70.782897816449605</v>
      </c>
    </row>
    <row r="340" spans="1:9" s="210" customFormat="1" ht="18" customHeight="1" x14ac:dyDescent="0.25">
      <c r="A340" s="29" t="s">
        <v>289</v>
      </c>
      <c r="B340" s="20" t="s">
        <v>1036</v>
      </c>
      <c r="C340" s="40" t="s">
        <v>279</v>
      </c>
      <c r="D340" s="40" t="s">
        <v>228</v>
      </c>
      <c r="E340" s="40" t="s">
        <v>290</v>
      </c>
      <c r="F340" s="40"/>
      <c r="G340" s="6">
        <f>'Пр.4 ведом.20'!G709</f>
        <v>1452.6799999999998</v>
      </c>
      <c r="H340" s="337">
        <f>'Пр.4 ведом.20'!H709</f>
        <v>1028.249</v>
      </c>
      <c r="I340" s="337">
        <f t="shared" si="193"/>
        <v>70.782897816449605</v>
      </c>
    </row>
    <row r="341" spans="1:9" s="210" customFormat="1" ht="36.75" customHeight="1" x14ac:dyDescent="0.25">
      <c r="A341" s="29" t="s">
        <v>418</v>
      </c>
      <c r="B341" s="20" t="s">
        <v>1036</v>
      </c>
      <c r="C341" s="40" t="s">
        <v>279</v>
      </c>
      <c r="D341" s="40" t="s">
        <v>228</v>
      </c>
      <c r="E341" s="40" t="s">
        <v>290</v>
      </c>
      <c r="F341" s="40" t="s">
        <v>651</v>
      </c>
      <c r="G341" s="10">
        <f>G340</f>
        <v>1452.6799999999998</v>
      </c>
      <c r="H341" s="313">
        <f t="shared" ref="H341" si="195">H340</f>
        <v>1028.249</v>
      </c>
      <c r="I341" s="337">
        <f t="shared" si="193"/>
        <v>70.782897816449605</v>
      </c>
    </row>
    <row r="342" spans="1:9" s="210" customFormat="1" ht="36" customHeight="1" x14ac:dyDescent="0.25">
      <c r="A342" s="25" t="s">
        <v>471</v>
      </c>
      <c r="B342" s="20" t="s">
        <v>1037</v>
      </c>
      <c r="C342" s="40" t="s">
        <v>279</v>
      </c>
      <c r="D342" s="40" t="s">
        <v>228</v>
      </c>
      <c r="E342" s="40"/>
      <c r="F342" s="40"/>
      <c r="G342" s="10">
        <f>G343</f>
        <v>1665.2</v>
      </c>
      <c r="H342" s="313">
        <f t="shared" ref="H342:H343" si="196">H343</f>
        <v>1082.6348499999999</v>
      </c>
      <c r="I342" s="337">
        <f t="shared" si="193"/>
        <v>65.015304467931784</v>
      </c>
    </row>
    <row r="343" spans="1:9" s="210" customFormat="1" ht="36.75" customHeight="1" x14ac:dyDescent="0.25">
      <c r="A343" s="25" t="s">
        <v>287</v>
      </c>
      <c r="B343" s="20" t="s">
        <v>1037</v>
      </c>
      <c r="C343" s="40" t="s">
        <v>279</v>
      </c>
      <c r="D343" s="40" t="s">
        <v>228</v>
      </c>
      <c r="E343" s="40" t="s">
        <v>288</v>
      </c>
      <c r="F343" s="40"/>
      <c r="G343" s="10">
        <f>G344</f>
        <v>1665.2</v>
      </c>
      <c r="H343" s="313">
        <f t="shared" si="196"/>
        <v>1082.6348499999999</v>
      </c>
      <c r="I343" s="337">
        <f t="shared" si="193"/>
        <v>65.015304467931784</v>
      </c>
    </row>
    <row r="344" spans="1:9" s="210" customFormat="1" ht="15.75" customHeight="1" x14ac:dyDescent="0.25">
      <c r="A344" s="25" t="s">
        <v>289</v>
      </c>
      <c r="B344" s="20" t="s">
        <v>1037</v>
      </c>
      <c r="C344" s="40" t="s">
        <v>279</v>
      </c>
      <c r="D344" s="40" t="s">
        <v>228</v>
      </c>
      <c r="E344" s="40" t="s">
        <v>290</v>
      </c>
      <c r="F344" s="40"/>
      <c r="G344" s="10">
        <f>'Пр.4 ведом.20'!G712</f>
        <v>1665.2</v>
      </c>
      <c r="H344" s="313">
        <f>'Пр.4 ведом.20'!H712</f>
        <v>1082.6348499999999</v>
      </c>
      <c r="I344" s="337">
        <f t="shared" si="193"/>
        <v>65.015304467931784</v>
      </c>
    </row>
    <row r="345" spans="1:9" s="210" customFormat="1" ht="38.25" customHeight="1" x14ac:dyDescent="0.25">
      <c r="A345" s="29" t="s">
        <v>418</v>
      </c>
      <c r="B345" s="20" t="s">
        <v>1037</v>
      </c>
      <c r="C345" s="40" t="s">
        <v>279</v>
      </c>
      <c r="D345" s="40" t="s">
        <v>228</v>
      </c>
      <c r="E345" s="40" t="s">
        <v>290</v>
      </c>
      <c r="F345" s="40" t="s">
        <v>651</v>
      </c>
      <c r="G345" s="10">
        <f>G344</f>
        <v>1665.2</v>
      </c>
      <c r="H345" s="313">
        <f t="shared" ref="H345" si="197">H344</f>
        <v>1082.6348499999999</v>
      </c>
      <c r="I345" s="337">
        <f t="shared" si="193"/>
        <v>65.015304467931784</v>
      </c>
    </row>
    <row r="346" spans="1:9" s="210" customFormat="1" ht="31.7" customHeight="1" x14ac:dyDescent="0.25">
      <c r="A346" s="23" t="s">
        <v>1031</v>
      </c>
      <c r="B346" s="24" t="s">
        <v>1038</v>
      </c>
      <c r="C346" s="7"/>
      <c r="D346" s="7"/>
      <c r="E346" s="7"/>
      <c r="F346" s="7"/>
      <c r="G346" s="59">
        <f>G349+G353</f>
        <v>1364.7</v>
      </c>
      <c r="H346" s="325">
        <f t="shared" ref="H346" si="198">H349+H353</f>
        <v>1144.6334999999999</v>
      </c>
      <c r="I346" s="4">
        <f t="shared" si="193"/>
        <v>83.874367992965489</v>
      </c>
    </row>
    <row r="347" spans="1:9" s="210" customFormat="1" ht="18" customHeight="1" x14ac:dyDescent="0.25">
      <c r="A347" s="29" t="s">
        <v>278</v>
      </c>
      <c r="B347" s="40" t="s">
        <v>1038</v>
      </c>
      <c r="C347" s="40" t="s">
        <v>279</v>
      </c>
      <c r="D347" s="40"/>
      <c r="E347" s="40"/>
      <c r="F347" s="40"/>
      <c r="G347" s="10">
        <f t="shared" ref="G347:H347" si="199">G348</f>
        <v>1364.7</v>
      </c>
      <c r="H347" s="313">
        <f t="shared" si="199"/>
        <v>1144.6334999999999</v>
      </c>
      <c r="I347" s="337">
        <f t="shared" si="193"/>
        <v>83.874367992965489</v>
      </c>
    </row>
    <row r="348" spans="1:9" s="210" customFormat="1" ht="15" customHeight="1" x14ac:dyDescent="0.25">
      <c r="A348" s="29" t="s">
        <v>440</v>
      </c>
      <c r="B348" s="40" t="s">
        <v>1038</v>
      </c>
      <c r="C348" s="40" t="s">
        <v>279</v>
      </c>
      <c r="D348" s="40" t="s">
        <v>228</v>
      </c>
      <c r="E348" s="40"/>
      <c r="F348" s="40"/>
      <c r="G348" s="10">
        <f>G349+G353</f>
        <v>1364.7</v>
      </c>
      <c r="H348" s="313">
        <f t="shared" ref="H348" si="200">H349+H353</f>
        <v>1144.6334999999999</v>
      </c>
      <c r="I348" s="337">
        <f t="shared" si="193"/>
        <v>83.874367992965489</v>
      </c>
    </row>
    <row r="349" spans="1:9" s="210" customFormat="1" ht="47.25" customHeight="1" x14ac:dyDescent="0.25">
      <c r="A349" s="25" t="s">
        <v>453</v>
      </c>
      <c r="B349" s="20" t="s">
        <v>1039</v>
      </c>
      <c r="C349" s="40" t="s">
        <v>279</v>
      </c>
      <c r="D349" s="40" t="s">
        <v>228</v>
      </c>
      <c r="E349" s="40"/>
      <c r="F349" s="40"/>
      <c r="G349" s="10">
        <f>G350</f>
        <v>868</v>
      </c>
      <c r="H349" s="313">
        <f t="shared" ref="H349:H350" si="201">H350</f>
        <v>826.17520000000002</v>
      </c>
      <c r="I349" s="337">
        <f t="shared" si="193"/>
        <v>95.18147465437788</v>
      </c>
    </row>
    <row r="350" spans="1:9" s="210" customFormat="1" ht="37.5" customHeight="1" x14ac:dyDescent="0.25">
      <c r="A350" s="25" t="s">
        <v>287</v>
      </c>
      <c r="B350" s="20" t="s">
        <v>1039</v>
      </c>
      <c r="C350" s="40" t="s">
        <v>279</v>
      </c>
      <c r="D350" s="40" t="s">
        <v>228</v>
      </c>
      <c r="E350" s="40" t="s">
        <v>288</v>
      </c>
      <c r="F350" s="40"/>
      <c r="G350" s="10">
        <f>G351</f>
        <v>868</v>
      </c>
      <c r="H350" s="313">
        <f t="shared" si="201"/>
        <v>826.17520000000002</v>
      </c>
      <c r="I350" s="337">
        <f t="shared" si="193"/>
        <v>95.18147465437788</v>
      </c>
    </row>
    <row r="351" spans="1:9" s="210" customFormat="1" ht="15.75" customHeight="1" x14ac:dyDescent="0.25">
      <c r="A351" s="25" t="s">
        <v>289</v>
      </c>
      <c r="B351" s="20" t="s">
        <v>1039</v>
      </c>
      <c r="C351" s="40" t="s">
        <v>279</v>
      </c>
      <c r="D351" s="40" t="s">
        <v>228</v>
      </c>
      <c r="E351" s="40" t="s">
        <v>290</v>
      </c>
      <c r="F351" s="40"/>
      <c r="G351" s="10">
        <f>'Пр.3 Рд,пр, ЦС,ВР 20'!F661</f>
        <v>868</v>
      </c>
      <c r="H351" s="313">
        <f>'Пр.3 Рд,пр, ЦС,ВР 20'!G661</f>
        <v>826.17520000000002</v>
      </c>
      <c r="I351" s="337">
        <f t="shared" si="193"/>
        <v>95.18147465437788</v>
      </c>
    </row>
    <row r="352" spans="1:9" s="210" customFormat="1" ht="37.5" customHeight="1" x14ac:dyDescent="0.25">
      <c r="A352" s="29" t="s">
        <v>418</v>
      </c>
      <c r="B352" s="20" t="s">
        <v>1039</v>
      </c>
      <c r="C352" s="40" t="s">
        <v>279</v>
      </c>
      <c r="D352" s="40" t="s">
        <v>228</v>
      </c>
      <c r="E352" s="40" t="s">
        <v>290</v>
      </c>
      <c r="F352" s="40" t="s">
        <v>651</v>
      </c>
      <c r="G352" s="10">
        <f>G351</f>
        <v>868</v>
      </c>
      <c r="H352" s="313">
        <f t="shared" ref="H352" si="202">H351</f>
        <v>826.17520000000002</v>
      </c>
      <c r="I352" s="337">
        <f t="shared" si="193"/>
        <v>95.18147465437788</v>
      </c>
    </row>
    <row r="353" spans="1:9" s="210" customFormat="1" ht="54" customHeight="1" x14ac:dyDescent="0.25">
      <c r="A353" s="25" t="s">
        <v>473</v>
      </c>
      <c r="B353" s="20" t="s">
        <v>1040</v>
      </c>
      <c r="C353" s="40" t="s">
        <v>279</v>
      </c>
      <c r="D353" s="40" t="s">
        <v>228</v>
      </c>
      <c r="E353" s="40"/>
      <c r="F353" s="40"/>
      <c r="G353" s="10">
        <f>G354</f>
        <v>496.7</v>
      </c>
      <c r="H353" s="313">
        <f t="shared" ref="H353:H354" si="203">H354</f>
        <v>318.45830000000001</v>
      </c>
      <c r="I353" s="337">
        <f t="shared" si="193"/>
        <v>64.11481779746326</v>
      </c>
    </row>
    <row r="354" spans="1:9" s="210" customFormat="1" ht="36" customHeight="1" x14ac:dyDescent="0.25">
      <c r="A354" s="264" t="s">
        <v>287</v>
      </c>
      <c r="B354" s="20" t="s">
        <v>1040</v>
      </c>
      <c r="C354" s="40" t="s">
        <v>279</v>
      </c>
      <c r="D354" s="40" t="s">
        <v>228</v>
      </c>
      <c r="E354" s="40" t="s">
        <v>288</v>
      </c>
      <c r="F354" s="40"/>
      <c r="G354" s="10">
        <f>G355</f>
        <v>496.7</v>
      </c>
      <c r="H354" s="313">
        <f t="shared" si="203"/>
        <v>318.45830000000001</v>
      </c>
      <c r="I354" s="337">
        <f t="shared" si="193"/>
        <v>64.11481779746326</v>
      </c>
    </row>
    <row r="355" spans="1:9" s="210" customFormat="1" ht="15.75" customHeight="1" x14ac:dyDescent="0.25">
      <c r="A355" s="25" t="s">
        <v>289</v>
      </c>
      <c r="B355" s="20" t="s">
        <v>1040</v>
      </c>
      <c r="C355" s="40" t="s">
        <v>279</v>
      </c>
      <c r="D355" s="40" t="s">
        <v>228</v>
      </c>
      <c r="E355" s="40" t="s">
        <v>290</v>
      </c>
      <c r="F355" s="40"/>
      <c r="G355" s="10">
        <f>'Пр.3 Рд,пр, ЦС,ВР 20'!F664</f>
        <v>496.7</v>
      </c>
      <c r="H355" s="313">
        <f>'Пр.3 Рд,пр, ЦС,ВР 20'!G664</f>
        <v>318.45830000000001</v>
      </c>
      <c r="I355" s="337">
        <f t="shared" si="193"/>
        <v>64.11481779746326</v>
      </c>
    </row>
    <row r="356" spans="1:9" s="210" customFormat="1" ht="41.25" customHeight="1" x14ac:dyDescent="0.25">
      <c r="A356" s="29" t="s">
        <v>418</v>
      </c>
      <c r="B356" s="20" t="s">
        <v>1040</v>
      </c>
      <c r="C356" s="40" t="s">
        <v>279</v>
      </c>
      <c r="D356" s="40" t="s">
        <v>228</v>
      </c>
      <c r="E356" s="40" t="s">
        <v>290</v>
      </c>
      <c r="F356" s="40" t="s">
        <v>651</v>
      </c>
      <c r="G356" s="10">
        <f>G355</f>
        <v>496.7</v>
      </c>
      <c r="H356" s="313">
        <f t="shared" ref="H356" si="204">H355</f>
        <v>318.45830000000001</v>
      </c>
      <c r="I356" s="337">
        <f t="shared" si="193"/>
        <v>64.11481779746326</v>
      </c>
    </row>
    <row r="357" spans="1:9" s="210" customFormat="1" ht="34.5" customHeight="1" x14ac:dyDescent="0.25">
      <c r="A357" s="224" t="s">
        <v>1075</v>
      </c>
      <c r="B357" s="24" t="s">
        <v>1041</v>
      </c>
      <c r="C357" s="7"/>
      <c r="D357" s="7"/>
      <c r="E357" s="7"/>
      <c r="F357" s="7"/>
      <c r="G357" s="59">
        <f>G360+G364</f>
        <v>2794.6160000000004</v>
      </c>
      <c r="H357" s="325">
        <f t="shared" ref="H357" si="205">H360+H364</f>
        <v>2725.6334299999999</v>
      </c>
      <c r="I357" s="4">
        <f t="shared" si="193"/>
        <v>97.531590386657754</v>
      </c>
    </row>
    <row r="358" spans="1:9" s="210" customFormat="1" ht="18.75" customHeight="1" x14ac:dyDescent="0.25">
      <c r="A358" s="29" t="s">
        <v>278</v>
      </c>
      <c r="B358" s="40" t="s">
        <v>1041</v>
      </c>
      <c r="C358" s="40" t="s">
        <v>279</v>
      </c>
      <c r="D358" s="40"/>
      <c r="E358" s="40"/>
      <c r="F358" s="40"/>
      <c r="G358" s="10">
        <f t="shared" ref="G358:H358" si="206">G359</f>
        <v>2794.6160000000004</v>
      </c>
      <c r="H358" s="313">
        <f t="shared" si="206"/>
        <v>2725.6334299999999</v>
      </c>
      <c r="I358" s="337">
        <f t="shared" si="193"/>
        <v>97.531590386657754</v>
      </c>
    </row>
    <row r="359" spans="1:9" s="210" customFormat="1" ht="20.25" customHeight="1" x14ac:dyDescent="0.25">
      <c r="A359" s="29" t="s">
        <v>440</v>
      </c>
      <c r="B359" s="40" t="s">
        <v>1041</v>
      </c>
      <c r="C359" s="40" t="s">
        <v>279</v>
      </c>
      <c r="D359" s="40" t="s">
        <v>228</v>
      </c>
      <c r="E359" s="40"/>
      <c r="F359" s="40"/>
      <c r="G359" s="10">
        <f>G360+G364</f>
        <v>2794.6160000000004</v>
      </c>
      <c r="H359" s="313">
        <f t="shared" ref="H359" si="207">H360+H364</f>
        <v>2725.6334299999999</v>
      </c>
      <c r="I359" s="337">
        <f t="shared" si="193"/>
        <v>97.531590386657754</v>
      </c>
    </row>
    <row r="360" spans="1:9" ht="31.7" hidden="1" customHeight="1" x14ac:dyDescent="0.25">
      <c r="A360" s="29" t="s">
        <v>299</v>
      </c>
      <c r="B360" s="20" t="s">
        <v>1043</v>
      </c>
      <c r="C360" s="40" t="s">
        <v>279</v>
      </c>
      <c r="D360" s="40" t="s">
        <v>228</v>
      </c>
      <c r="E360" s="40"/>
      <c r="F360" s="40"/>
      <c r="G360" s="10">
        <f t="shared" ref="G360:H361" si="208">G361</f>
        <v>32.32</v>
      </c>
      <c r="H360" s="313">
        <f t="shared" si="208"/>
        <v>32.314</v>
      </c>
      <c r="I360" s="337">
        <f t="shared" si="193"/>
        <v>99.981435643564353</v>
      </c>
    </row>
    <row r="361" spans="1:9" ht="31.7" hidden="1" customHeight="1" x14ac:dyDescent="0.25">
      <c r="A361" s="29" t="s">
        <v>287</v>
      </c>
      <c r="B361" s="20" t="s">
        <v>1043</v>
      </c>
      <c r="C361" s="40" t="s">
        <v>279</v>
      </c>
      <c r="D361" s="40" t="s">
        <v>228</v>
      </c>
      <c r="E361" s="40" t="s">
        <v>288</v>
      </c>
      <c r="F361" s="40"/>
      <c r="G361" s="10">
        <f t="shared" si="208"/>
        <v>32.32</v>
      </c>
      <c r="H361" s="313">
        <f t="shared" si="208"/>
        <v>32.314</v>
      </c>
      <c r="I361" s="337">
        <f t="shared" si="193"/>
        <v>99.981435643564353</v>
      </c>
    </row>
    <row r="362" spans="1:9" ht="26.45" hidden="1" customHeight="1" x14ac:dyDescent="0.25">
      <c r="A362" s="29" t="s">
        <v>289</v>
      </c>
      <c r="B362" s="20" t="s">
        <v>1043</v>
      </c>
      <c r="C362" s="40" t="s">
        <v>279</v>
      </c>
      <c r="D362" s="40" t="s">
        <v>228</v>
      </c>
      <c r="E362" s="40" t="s">
        <v>290</v>
      </c>
      <c r="F362" s="40"/>
      <c r="G362" s="10">
        <f>'Пр.4 ведом.20'!G723</f>
        <v>32.32</v>
      </c>
      <c r="H362" s="313">
        <f>'Пр.4 ведом.20'!H723</f>
        <v>32.314</v>
      </c>
      <c r="I362" s="337">
        <f t="shared" si="193"/>
        <v>99.981435643564353</v>
      </c>
    </row>
    <row r="363" spans="1:9" s="210" customFormat="1" ht="34.5" hidden="1" customHeight="1" x14ac:dyDescent="0.25">
      <c r="A363" s="29" t="s">
        <v>418</v>
      </c>
      <c r="B363" s="20" t="s">
        <v>1043</v>
      </c>
      <c r="C363" s="40" t="s">
        <v>279</v>
      </c>
      <c r="D363" s="40" t="s">
        <v>228</v>
      </c>
      <c r="E363" s="40" t="s">
        <v>290</v>
      </c>
      <c r="F363" s="40" t="s">
        <v>651</v>
      </c>
      <c r="G363" s="10">
        <f>G362</f>
        <v>32.32</v>
      </c>
      <c r="H363" s="313">
        <f t="shared" ref="H363" si="209">H362</f>
        <v>32.314</v>
      </c>
      <c r="I363" s="337">
        <f t="shared" si="193"/>
        <v>99.981435643564353</v>
      </c>
    </row>
    <row r="364" spans="1:9" ht="34.5" customHeight="1" x14ac:dyDescent="0.25">
      <c r="A364" s="60" t="s">
        <v>785</v>
      </c>
      <c r="B364" s="20" t="s">
        <v>1044</v>
      </c>
      <c r="C364" s="40" t="s">
        <v>279</v>
      </c>
      <c r="D364" s="40" t="s">
        <v>228</v>
      </c>
      <c r="E364" s="40"/>
      <c r="F364" s="40"/>
      <c r="G364" s="10">
        <f t="shared" ref="G364:H365" si="210">G365</f>
        <v>2762.2960000000003</v>
      </c>
      <c r="H364" s="313">
        <f t="shared" si="210"/>
        <v>2693.31943</v>
      </c>
      <c r="I364" s="337">
        <f t="shared" si="193"/>
        <v>97.50292618893846</v>
      </c>
    </row>
    <row r="365" spans="1:9" ht="40.700000000000003" customHeight="1" x14ac:dyDescent="0.25">
      <c r="A365" s="29" t="s">
        <v>287</v>
      </c>
      <c r="B365" s="20" t="s">
        <v>1044</v>
      </c>
      <c r="C365" s="40" t="s">
        <v>279</v>
      </c>
      <c r="D365" s="40" t="s">
        <v>228</v>
      </c>
      <c r="E365" s="40" t="s">
        <v>288</v>
      </c>
      <c r="F365" s="40"/>
      <c r="G365" s="10">
        <f t="shared" si="210"/>
        <v>2762.2960000000003</v>
      </c>
      <c r="H365" s="313">
        <f t="shared" si="210"/>
        <v>2693.31943</v>
      </c>
      <c r="I365" s="337">
        <f t="shared" si="193"/>
        <v>97.50292618893846</v>
      </c>
    </row>
    <row r="366" spans="1:9" ht="19.5" customHeight="1" x14ac:dyDescent="0.25">
      <c r="A366" s="193" t="s">
        <v>289</v>
      </c>
      <c r="B366" s="20" t="s">
        <v>1044</v>
      </c>
      <c r="C366" s="40" t="s">
        <v>279</v>
      </c>
      <c r="D366" s="40" t="s">
        <v>228</v>
      </c>
      <c r="E366" s="40" t="s">
        <v>290</v>
      </c>
      <c r="F366" s="40"/>
      <c r="G366" s="10">
        <f>'Пр.4 ведом.20'!G726</f>
        <v>2762.2960000000003</v>
      </c>
      <c r="H366" s="313">
        <f>'Пр.4 ведом.20'!H726</f>
        <v>2693.31943</v>
      </c>
      <c r="I366" s="337">
        <f t="shared" si="193"/>
        <v>97.50292618893846</v>
      </c>
    </row>
    <row r="367" spans="1:9" s="210" customFormat="1" ht="33" customHeight="1" x14ac:dyDescent="0.25">
      <c r="A367" s="29" t="s">
        <v>418</v>
      </c>
      <c r="B367" s="20" t="s">
        <v>1044</v>
      </c>
      <c r="C367" s="40" t="s">
        <v>279</v>
      </c>
      <c r="D367" s="40" t="s">
        <v>228</v>
      </c>
      <c r="E367" s="40" t="s">
        <v>290</v>
      </c>
      <c r="F367" s="40" t="s">
        <v>651</v>
      </c>
      <c r="G367" s="10">
        <f>G366</f>
        <v>2762.2960000000003</v>
      </c>
      <c r="H367" s="313">
        <f t="shared" ref="H367" si="211">H366</f>
        <v>2693.31943</v>
      </c>
      <c r="I367" s="337">
        <f t="shared" si="193"/>
        <v>97.50292618893846</v>
      </c>
    </row>
    <row r="368" spans="1:9" s="210" customFormat="1" ht="38.25" customHeight="1" x14ac:dyDescent="0.25">
      <c r="A368" s="222" t="s">
        <v>1046</v>
      </c>
      <c r="B368" s="24" t="s">
        <v>1042</v>
      </c>
      <c r="C368" s="7"/>
      <c r="D368" s="7"/>
      <c r="E368" s="7"/>
      <c r="F368" s="7"/>
      <c r="G368" s="59">
        <f>G369</f>
        <v>685.96799999999996</v>
      </c>
      <c r="H368" s="325">
        <f t="shared" ref="H368" si="212">H369</f>
        <v>681.59180000000003</v>
      </c>
      <c r="I368" s="4">
        <f t="shared" si="193"/>
        <v>99.362040211788312</v>
      </c>
    </row>
    <row r="369" spans="1:9" s="210" customFormat="1" ht="18.75" customHeight="1" x14ac:dyDescent="0.25">
      <c r="A369" s="29" t="s">
        <v>278</v>
      </c>
      <c r="B369" s="40" t="s">
        <v>1042</v>
      </c>
      <c r="C369" s="40" t="s">
        <v>279</v>
      </c>
      <c r="D369" s="40"/>
      <c r="E369" s="40"/>
      <c r="F369" s="40"/>
      <c r="G369" s="10">
        <f t="shared" ref="G369:H369" si="213">G370</f>
        <v>685.96799999999996</v>
      </c>
      <c r="H369" s="313">
        <f t="shared" si="213"/>
        <v>681.59180000000003</v>
      </c>
      <c r="I369" s="337">
        <f t="shared" si="193"/>
        <v>99.362040211788312</v>
      </c>
    </row>
    <row r="370" spans="1:9" s="210" customFormat="1" ht="18" customHeight="1" x14ac:dyDescent="0.25">
      <c r="A370" s="29" t="s">
        <v>440</v>
      </c>
      <c r="B370" s="40" t="s">
        <v>1042</v>
      </c>
      <c r="C370" s="40" t="s">
        <v>279</v>
      </c>
      <c r="D370" s="40" t="s">
        <v>228</v>
      </c>
      <c r="E370" s="40"/>
      <c r="F370" s="40"/>
      <c r="G370" s="10">
        <f>G371+G375</f>
        <v>685.96799999999996</v>
      </c>
      <c r="H370" s="313">
        <f t="shared" ref="H370" si="214">H371+H375</f>
        <v>681.59180000000003</v>
      </c>
      <c r="I370" s="337">
        <f t="shared" si="193"/>
        <v>99.362040211788312</v>
      </c>
    </row>
    <row r="371" spans="1:9" s="210" customFormat="1" ht="47.25" x14ac:dyDescent="0.25">
      <c r="A371" s="193" t="s">
        <v>872</v>
      </c>
      <c r="B371" s="316" t="s">
        <v>1505</v>
      </c>
      <c r="C371" s="40" t="s">
        <v>279</v>
      </c>
      <c r="D371" s="40" t="s">
        <v>228</v>
      </c>
      <c r="E371" s="40"/>
      <c r="F371" s="40"/>
      <c r="G371" s="10">
        <f>G372</f>
        <v>611.16800000000001</v>
      </c>
      <c r="H371" s="313">
        <f t="shared" ref="H371:H372" si="215">H372</f>
        <v>608.59180000000003</v>
      </c>
      <c r="I371" s="337">
        <f t="shared" si="193"/>
        <v>99.578479239750777</v>
      </c>
    </row>
    <row r="372" spans="1:9" s="210" customFormat="1" ht="39.75" customHeight="1" x14ac:dyDescent="0.25">
      <c r="A372" s="29" t="s">
        <v>287</v>
      </c>
      <c r="B372" s="316" t="s">
        <v>1505</v>
      </c>
      <c r="C372" s="40" t="s">
        <v>279</v>
      </c>
      <c r="D372" s="40" t="s">
        <v>228</v>
      </c>
      <c r="E372" s="40" t="s">
        <v>288</v>
      </c>
      <c r="F372" s="40"/>
      <c r="G372" s="10">
        <f>G373</f>
        <v>611.16800000000001</v>
      </c>
      <c r="H372" s="313">
        <f t="shared" si="215"/>
        <v>608.59180000000003</v>
      </c>
      <c r="I372" s="337">
        <f t="shared" si="193"/>
        <v>99.578479239750777</v>
      </c>
    </row>
    <row r="373" spans="1:9" s="210" customFormat="1" ht="19.5" customHeight="1" x14ac:dyDescent="0.25">
      <c r="A373" s="193" t="s">
        <v>289</v>
      </c>
      <c r="B373" s="316" t="s">
        <v>1505</v>
      </c>
      <c r="C373" s="40" t="s">
        <v>279</v>
      </c>
      <c r="D373" s="40" t="s">
        <v>228</v>
      </c>
      <c r="E373" s="40" t="s">
        <v>290</v>
      </c>
      <c r="F373" s="40"/>
      <c r="G373" s="10">
        <f>'Пр.3 Рд,пр, ЦС,ВР 20'!F675</f>
        <v>611.16800000000001</v>
      </c>
      <c r="H373" s="313">
        <f>'Пр.3 Рд,пр, ЦС,ВР 20'!G675</f>
        <v>608.59180000000003</v>
      </c>
      <c r="I373" s="337">
        <f t="shared" si="193"/>
        <v>99.578479239750777</v>
      </c>
    </row>
    <row r="374" spans="1:9" s="210" customFormat="1" ht="31.7" customHeight="1" x14ac:dyDescent="0.25">
      <c r="A374" s="29" t="s">
        <v>418</v>
      </c>
      <c r="B374" s="316" t="s">
        <v>1505</v>
      </c>
      <c r="C374" s="40" t="s">
        <v>279</v>
      </c>
      <c r="D374" s="40" t="s">
        <v>228</v>
      </c>
      <c r="E374" s="40" t="s">
        <v>290</v>
      </c>
      <c r="F374" s="40" t="s">
        <v>651</v>
      </c>
      <c r="G374" s="10">
        <f>G373</f>
        <v>611.16800000000001</v>
      </c>
      <c r="H374" s="313">
        <f t="shared" ref="H374" si="216">H373</f>
        <v>608.59180000000003</v>
      </c>
      <c r="I374" s="337">
        <f t="shared" si="193"/>
        <v>99.578479239750777</v>
      </c>
    </row>
    <row r="375" spans="1:9" s="309" customFormat="1" ht="31.7" customHeight="1" x14ac:dyDescent="0.25">
      <c r="A375" s="31" t="s">
        <v>1504</v>
      </c>
      <c r="B375" s="316" t="s">
        <v>1506</v>
      </c>
      <c r="C375" s="324" t="s">
        <v>279</v>
      </c>
      <c r="D375" s="324" t="s">
        <v>228</v>
      </c>
      <c r="E375" s="324"/>
      <c r="F375" s="324"/>
      <c r="G375" s="313">
        <f>G376</f>
        <v>74.8</v>
      </c>
      <c r="H375" s="313">
        <f t="shared" ref="H375:H377" si="217">H376</f>
        <v>73</v>
      </c>
      <c r="I375" s="337">
        <f t="shared" si="193"/>
        <v>97.593582887700535</v>
      </c>
    </row>
    <row r="376" spans="1:9" s="309" customFormat="1" ht="31.7" customHeight="1" x14ac:dyDescent="0.25">
      <c r="A376" s="31" t="s">
        <v>287</v>
      </c>
      <c r="B376" s="316" t="s">
        <v>1506</v>
      </c>
      <c r="C376" s="324" t="s">
        <v>279</v>
      </c>
      <c r="D376" s="324" t="s">
        <v>228</v>
      </c>
      <c r="E376" s="324" t="s">
        <v>288</v>
      </c>
      <c r="F376" s="324"/>
      <c r="G376" s="313">
        <f>G377</f>
        <v>74.8</v>
      </c>
      <c r="H376" s="313">
        <f t="shared" si="217"/>
        <v>73</v>
      </c>
      <c r="I376" s="337">
        <f t="shared" si="193"/>
        <v>97.593582887700535</v>
      </c>
    </row>
    <row r="377" spans="1:9" s="309" customFormat="1" ht="31.7" customHeight="1" x14ac:dyDescent="0.25">
      <c r="A377" s="31" t="s">
        <v>289</v>
      </c>
      <c r="B377" s="316" t="s">
        <v>1506</v>
      </c>
      <c r="C377" s="324" t="s">
        <v>279</v>
      </c>
      <c r="D377" s="324" t="s">
        <v>228</v>
      </c>
      <c r="E377" s="324" t="s">
        <v>290</v>
      </c>
      <c r="F377" s="324"/>
      <c r="G377" s="313">
        <f>G378</f>
        <v>74.8</v>
      </c>
      <c r="H377" s="313">
        <f t="shared" si="217"/>
        <v>73</v>
      </c>
      <c r="I377" s="337">
        <f t="shared" si="193"/>
        <v>97.593582887700535</v>
      </c>
    </row>
    <row r="378" spans="1:9" s="309" customFormat="1" ht="31.7" customHeight="1" x14ac:dyDescent="0.25">
      <c r="A378" s="323" t="s">
        <v>418</v>
      </c>
      <c r="B378" s="316" t="s">
        <v>1506</v>
      </c>
      <c r="C378" s="324" t="s">
        <v>279</v>
      </c>
      <c r="D378" s="324" t="s">
        <v>228</v>
      </c>
      <c r="E378" s="324" t="s">
        <v>290</v>
      </c>
      <c r="F378" s="324" t="s">
        <v>651</v>
      </c>
      <c r="G378" s="313">
        <f>'Пр.4 ведом.20'!G733</f>
        <v>74.8</v>
      </c>
      <c r="H378" s="313">
        <f>'Пр.4 ведом.20'!H733</f>
        <v>73</v>
      </c>
      <c r="I378" s="337">
        <f t="shared" si="193"/>
        <v>97.593582887700535</v>
      </c>
    </row>
    <row r="379" spans="1:9" s="336" customFormat="1" ht="31.5" x14ac:dyDescent="0.25">
      <c r="A379" s="222" t="s">
        <v>1549</v>
      </c>
      <c r="B379" s="319" t="s">
        <v>1540</v>
      </c>
      <c r="C379" s="324"/>
      <c r="D379" s="324"/>
      <c r="E379" s="324"/>
      <c r="F379" s="324"/>
      <c r="G379" s="325">
        <f>G380</f>
        <v>2369.7999999999997</v>
      </c>
      <c r="H379" s="325">
        <f t="shared" ref="H379:H380" si="218">H380</f>
        <v>2369.7999999999997</v>
      </c>
      <c r="I379" s="4">
        <f t="shared" si="193"/>
        <v>100</v>
      </c>
    </row>
    <row r="380" spans="1:9" s="336" customFormat="1" ht="15.75" x14ac:dyDescent="0.25">
      <c r="A380" s="323" t="s">
        <v>278</v>
      </c>
      <c r="B380" s="324" t="s">
        <v>1540</v>
      </c>
      <c r="C380" s="324" t="s">
        <v>279</v>
      </c>
      <c r="D380" s="324"/>
      <c r="E380" s="324"/>
      <c r="F380" s="324"/>
      <c r="G380" s="313">
        <f>G381</f>
        <v>2369.7999999999997</v>
      </c>
      <c r="H380" s="313">
        <f t="shared" si="218"/>
        <v>2369.7999999999997</v>
      </c>
      <c r="I380" s="337">
        <f t="shared" si="193"/>
        <v>100</v>
      </c>
    </row>
    <row r="381" spans="1:9" s="336" customFormat="1" ht="15.75" x14ac:dyDescent="0.25">
      <c r="A381" s="323" t="s">
        <v>440</v>
      </c>
      <c r="B381" s="324" t="s">
        <v>1540</v>
      </c>
      <c r="C381" s="324" t="s">
        <v>279</v>
      </c>
      <c r="D381" s="324" t="s">
        <v>228</v>
      </c>
      <c r="E381" s="324"/>
      <c r="F381" s="324"/>
      <c r="G381" s="313">
        <f>G382+G386</f>
        <v>2369.7999999999997</v>
      </c>
      <c r="H381" s="313">
        <f t="shared" ref="H381" si="219">H382+H386</f>
        <v>2369.7999999999997</v>
      </c>
      <c r="I381" s="337">
        <f t="shared" si="193"/>
        <v>100</v>
      </c>
    </row>
    <row r="382" spans="1:9" s="336" customFormat="1" ht="31.5" x14ac:dyDescent="0.25">
      <c r="A382" s="31" t="s">
        <v>1550</v>
      </c>
      <c r="B382" s="338" t="s">
        <v>1541</v>
      </c>
      <c r="C382" s="324" t="s">
        <v>279</v>
      </c>
      <c r="D382" s="324" t="s">
        <v>228</v>
      </c>
      <c r="E382" s="324"/>
      <c r="F382" s="324"/>
      <c r="G382" s="313">
        <f>G383</f>
        <v>94.6</v>
      </c>
      <c r="H382" s="313">
        <f t="shared" ref="H382:H383" si="220">H383</f>
        <v>94.6</v>
      </c>
      <c r="I382" s="337">
        <f t="shared" si="193"/>
        <v>100</v>
      </c>
    </row>
    <row r="383" spans="1:9" s="336" customFormat="1" ht="31.5" x14ac:dyDescent="0.25">
      <c r="A383" s="31" t="s">
        <v>287</v>
      </c>
      <c r="B383" s="338" t="s">
        <v>1541</v>
      </c>
      <c r="C383" s="324" t="s">
        <v>279</v>
      </c>
      <c r="D383" s="324" t="s">
        <v>228</v>
      </c>
      <c r="E383" s="324" t="s">
        <v>288</v>
      </c>
      <c r="F383" s="324"/>
      <c r="G383" s="313">
        <f>G384</f>
        <v>94.6</v>
      </c>
      <c r="H383" s="313">
        <f t="shared" si="220"/>
        <v>94.6</v>
      </c>
      <c r="I383" s="337">
        <f t="shared" si="193"/>
        <v>100</v>
      </c>
    </row>
    <row r="384" spans="1:9" s="336" customFormat="1" ht="15.75" x14ac:dyDescent="0.25">
      <c r="A384" s="31" t="s">
        <v>289</v>
      </c>
      <c r="B384" s="338" t="s">
        <v>1541</v>
      </c>
      <c r="C384" s="324" t="s">
        <v>279</v>
      </c>
      <c r="D384" s="324" t="s">
        <v>228</v>
      </c>
      <c r="E384" s="324" t="s">
        <v>290</v>
      </c>
      <c r="F384" s="324"/>
      <c r="G384" s="313">
        <f>'Пр.4 ведом.20'!G737</f>
        <v>94.6</v>
      </c>
      <c r="H384" s="313">
        <f>'Пр.4 ведом.20'!H737</f>
        <v>94.6</v>
      </c>
      <c r="I384" s="337">
        <f t="shared" si="193"/>
        <v>100</v>
      </c>
    </row>
    <row r="385" spans="1:9" s="336" customFormat="1" ht="31.5" x14ac:dyDescent="0.25">
      <c r="A385" s="323" t="s">
        <v>418</v>
      </c>
      <c r="B385" s="338" t="s">
        <v>1541</v>
      </c>
      <c r="C385" s="324" t="s">
        <v>279</v>
      </c>
      <c r="D385" s="324" t="s">
        <v>228</v>
      </c>
      <c r="E385" s="324" t="s">
        <v>290</v>
      </c>
      <c r="F385" s="324" t="s">
        <v>651</v>
      </c>
      <c r="G385" s="313">
        <f>G384</f>
        <v>94.6</v>
      </c>
      <c r="H385" s="313">
        <f t="shared" ref="H385" si="221">H384</f>
        <v>94.6</v>
      </c>
      <c r="I385" s="337">
        <f t="shared" si="193"/>
        <v>100</v>
      </c>
    </row>
    <row r="386" spans="1:9" s="336" customFormat="1" ht="31.5" x14ac:dyDescent="0.25">
      <c r="A386" s="31" t="s">
        <v>1551</v>
      </c>
      <c r="B386" s="338" t="s">
        <v>1542</v>
      </c>
      <c r="C386" s="324" t="s">
        <v>279</v>
      </c>
      <c r="D386" s="324" t="s">
        <v>228</v>
      </c>
      <c r="E386" s="324"/>
      <c r="F386" s="324"/>
      <c r="G386" s="313">
        <f>G387</f>
        <v>2275.1999999999998</v>
      </c>
      <c r="H386" s="313">
        <f t="shared" ref="H386:H387" si="222">H387</f>
        <v>2275.1999999999998</v>
      </c>
      <c r="I386" s="337">
        <f t="shared" si="193"/>
        <v>100</v>
      </c>
    </row>
    <row r="387" spans="1:9" s="336" customFormat="1" ht="31.5" x14ac:dyDescent="0.25">
      <c r="A387" s="31" t="s">
        <v>287</v>
      </c>
      <c r="B387" s="338" t="s">
        <v>1542</v>
      </c>
      <c r="C387" s="324" t="s">
        <v>279</v>
      </c>
      <c r="D387" s="324" t="s">
        <v>228</v>
      </c>
      <c r="E387" s="324" t="s">
        <v>288</v>
      </c>
      <c r="F387" s="324"/>
      <c r="G387" s="313">
        <f>G388</f>
        <v>2275.1999999999998</v>
      </c>
      <c r="H387" s="313">
        <f t="shared" si="222"/>
        <v>2275.1999999999998</v>
      </c>
      <c r="I387" s="337">
        <f t="shared" si="193"/>
        <v>100</v>
      </c>
    </row>
    <row r="388" spans="1:9" s="336" customFormat="1" ht="15.75" x14ac:dyDescent="0.25">
      <c r="A388" s="31" t="s">
        <v>289</v>
      </c>
      <c r="B388" s="338" t="s">
        <v>1542</v>
      </c>
      <c r="C388" s="324" t="s">
        <v>279</v>
      </c>
      <c r="D388" s="324" t="s">
        <v>228</v>
      </c>
      <c r="E388" s="324" t="s">
        <v>290</v>
      </c>
      <c r="F388" s="324"/>
      <c r="G388" s="313">
        <f>'Пр.4 ведом.20'!G740</f>
        <v>2275.1999999999998</v>
      </c>
      <c r="H388" s="313">
        <f>'Пр.4 ведом.20'!H740</f>
        <v>2275.1999999999998</v>
      </c>
      <c r="I388" s="337">
        <f t="shared" si="193"/>
        <v>100</v>
      </c>
    </row>
    <row r="389" spans="1:9" s="336" customFormat="1" ht="31.5" x14ac:dyDescent="0.25">
      <c r="A389" s="323" t="s">
        <v>418</v>
      </c>
      <c r="B389" s="338" t="s">
        <v>1542</v>
      </c>
      <c r="C389" s="324" t="s">
        <v>279</v>
      </c>
      <c r="D389" s="324" t="s">
        <v>228</v>
      </c>
      <c r="E389" s="324" t="s">
        <v>290</v>
      </c>
      <c r="F389" s="324" t="s">
        <v>651</v>
      </c>
      <c r="G389" s="313">
        <f>G388</f>
        <v>2275.1999999999998</v>
      </c>
      <c r="H389" s="313">
        <f t="shared" ref="H389" si="223">H388</f>
        <v>2275.1999999999998</v>
      </c>
      <c r="I389" s="337">
        <f t="shared" si="193"/>
        <v>100</v>
      </c>
    </row>
    <row r="390" spans="1:9" s="336" customFormat="1" ht="31.5" x14ac:dyDescent="0.25">
      <c r="A390" s="222" t="s">
        <v>1543</v>
      </c>
      <c r="B390" s="319" t="s">
        <v>1546</v>
      </c>
      <c r="C390" s="312"/>
      <c r="D390" s="312"/>
      <c r="E390" s="312"/>
      <c r="F390" s="312"/>
      <c r="G390" s="325">
        <f>G391</f>
        <v>641.29999999999995</v>
      </c>
      <c r="H390" s="325">
        <f t="shared" ref="H390:H391" si="224">H391</f>
        <v>634.20000000000005</v>
      </c>
      <c r="I390" s="4">
        <f t="shared" si="193"/>
        <v>98.892873849992213</v>
      </c>
    </row>
    <row r="391" spans="1:9" s="336" customFormat="1" ht="15.75" x14ac:dyDescent="0.25">
      <c r="A391" s="323" t="s">
        <v>278</v>
      </c>
      <c r="B391" s="324" t="s">
        <v>1546</v>
      </c>
      <c r="C391" s="324" t="s">
        <v>279</v>
      </c>
      <c r="D391" s="324"/>
      <c r="E391" s="324"/>
      <c r="F391" s="324"/>
      <c r="G391" s="313">
        <f>G392</f>
        <v>641.29999999999995</v>
      </c>
      <c r="H391" s="313">
        <f t="shared" si="224"/>
        <v>634.20000000000005</v>
      </c>
      <c r="I391" s="337">
        <f t="shared" si="193"/>
        <v>98.892873849992213</v>
      </c>
    </row>
    <row r="392" spans="1:9" s="336" customFormat="1" ht="15.75" x14ac:dyDescent="0.25">
      <c r="A392" s="323" t="s">
        <v>440</v>
      </c>
      <c r="B392" s="324" t="s">
        <v>1546</v>
      </c>
      <c r="C392" s="324" t="s">
        <v>279</v>
      </c>
      <c r="D392" s="324" t="s">
        <v>228</v>
      </c>
      <c r="E392" s="324"/>
      <c r="F392" s="324"/>
      <c r="G392" s="313">
        <f>G393+G397</f>
        <v>641.29999999999995</v>
      </c>
      <c r="H392" s="313">
        <f t="shared" ref="H392" si="225">H393+H397</f>
        <v>634.20000000000005</v>
      </c>
      <c r="I392" s="337">
        <f t="shared" si="193"/>
        <v>98.892873849992213</v>
      </c>
    </row>
    <row r="393" spans="1:9" s="336" customFormat="1" ht="47.25" x14ac:dyDescent="0.25">
      <c r="A393" s="31" t="s">
        <v>1544</v>
      </c>
      <c r="B393" s="338" t="s">
        <v>1547</v>
      </c>
      <c r="C393" s="324" t="s">
        <v>279</v>
      </c>
      <c r="D393" s="324" t="s">
        <v>228</v>
      </c>
      <c r="E393" s="324"/>
      <c r="F393" s="324"/>
      <c r="G393" s="313">
        <f>G394</f>
        <v>26.3</v>
      </c>
      <c r="H393" s="313">
        <f t="shared" ref="H393:H394" si="226">H394</f>
        <v>19.2</v>
      </c>
      <c r="I393" s="337">
        <f t="shared" si="193"/>
        <v>73.003802281368806</v>
      </c>
    </row>
    <row r="394" spans="1:9" s="336" customFormat="1" ht="31.5" x14ac:dyDescent="0.25">
      <c r="A394" s="31" t="s">
        <v>287</v>
      </c>
      <c r="B394" s="338" t="s">
        <v>1547</v>
      </c>
      <c r="C394" s="324" t="s">
        <v>279</v>
      </c>
      <c r="D394" s="324" t="s">
        <v>228</v>
      </c>
      <c r="E394" s="324" t="s">
        <v>288</v>
      </c>
      <c r="F394" s="324"/>
      <c r="G394" s="313">
        <f>G395</f>
        <v>26.3</v>
      </c>
      <c r="H394" s="313">
        <f t="shared" si="226"/>
        <v>19.2</v>
      </c>
      <c r="I394" s="337">
        <f t="shared" si="193"/>
        <v>73.003802281368806</v>
      </c>
    </row>
    <row r="395" spans="1:9" s="336" customFormat="1" ht="15.75" x14ac:dyDescent="0.25">
      <c r="A395" s="31" t="s">
        <v>289</v>
      </c>
      <c r="B395" s="338" t="s">
        <v>1547</v>
      </c>
      <c r="C395" s="324" t="s">
        <v>279</v>
      </c>
      <c r="D395" s="324" t="s">
        <v>228</v>
      </c>
      <c r="E395" s="324" t="s">
        <v>290</v>
      </c>
      <c r="F395" s="324"/>
      <c r="G395" s="313">
        <f>'Пр.4 ведом.20'!G744</f>
        <v>26.3</v>
      </c>
      <c r="H395" s="313">
        <f>'Пр.4 ведом.20'!H744</f>
        <v>19.2</v>
      </c>
      <c r="I395" s="337">
        <f t="shared" si="193"/>
        <v>73.003802281368806</v>
      </c>
    </row>
    <row r="396" spans="1:9" s="336" customFormat="1" ht="31.5" x14ac:dyDescent="0.25">
      <c r="A396" s="323" t="s">
        <v>418</v>
      </c>
      <c r="B396" s="338" t="s">
        <v>1547</v>
      </c>
      <c r="C396" s="324" t="s">
        <v>279</v>
      </c>
      <c r="D396" s="324" t="s">
        <v>228</v>
      </c>
      <c r="E396" s="324" t="s">
        <v>290</v>
      </c>
      <c r="F396" s="324" t="s">
        <v>651</v>
      </c>
      <c r="G396" s="313">
        <f>G395</f>
        <v>26.3</v>
      </c>
      <c r="H396" s="313">
        <f t="shared" ref="H396" si="227">H395</f>
        <v>19.2</v>
      </c>
      <c r="I396" s="337">
        <f t="shared" si="193"/>
        <v>73.003802281368806</v>
      </c>
    </row>
    <row r="397" spans="1:9" s="336" customFormat="1" ht="31.5" x14ac:dyDescent="0.25">
      <c r="A397" s="31" t="s">
        <v>1545</v>
      </c>
      <c r="B397" s="338" t="s">
        <v>1548</v>
      </c>
      <c r="C397" s="324" t="s">
        <v>279</v>
      </c>
      <c r="D397" s="324" t="s">
        <v>228</v>
      </c>
      <c r="E397" s="324"/>
      <c r="F397" s="324"/>
      <c r="G397" s="313">
        <f>G398</f>
        <v>615</v>
      </c>
      <c r="H397" s="313">
        <f t="shared" ref="H397:H398" si="228">H398</f>
        <v>615</v>
      </c>
      <c r="I397" s="337">
        <f t="shared" si="193"/>
        <v>100</v>
      </c>
    </row>
    <row r="398" spans="1:9" s="336" customFormat="1" ht="31.5" x14ac:dyDescent="0.25">
      <c r="A398" s="31" t="s">
        <v>287</v>
      </c>
      <c r="B398" s="338" t="s">
        <v>1548</v>
      </c>
      <c r="C398" s="324" t="s">
        <v>279</v>
      </c>
      <c r="D398" s="324" t="s">
        <v>228</v>
      </c>
      <c r="E398" s="324" t="s">
        <v>288</v>
      </c>
      <c r="F398" s="324"/>
      <c r="G398" s="313">
        <f>G399</f>
        <v>615</v>
      </c>
      <c r="H398" s="313">
        <f t="shared" si="228"/>
        <v>615</v>
      </c>
      <c r="I398" s="337">
        <f t="shared" si="193"/>
        <v>100</v>
      </c>
    </row>
    <row r="399" spans="1:9" s="336" customFormat="1" ht="15.75" x14ac:dyDescent="0.25">
      <c r="A399" s="31" t="s">
        <v>289</v>
      </c>
      <c r="B399" s="338" t="s">
        <v>1548</v>
      </c>
      <c r="C399" s="324" t="s">
        <v>279</v>
      </c>
      <c r="D399" s="324" t="s">
        <v>228</v>
      </c>
      <c r="E399" s="324" t="s">
        <v>290</v>
      </c>
      <c r="F399" s="324"/>
      <c r="G399" s="313">
        <f>'Пр.4 ведом.20'!G747</f>
        <v>615</v>
      </c>
      <c r="H399" s="313">
        <f>'Пр.4 ведом.20'!H747</f>
        <v>615</v>
      </c>
      <c r="I399" s="337">
        <f t="shared" si="193"/>
        <v>100</v>
      </c>
    </row>
    <row r="400" spans="1:9" s="336" customFormat="1" ht="31.5" x14ac:dyDescent="0.25">
      <c r="A400" s="323" t="s">
        <v>418</v>
      </c>
      <c r="B400" s="338" t="s">
        <v>1548</v>
      </c>
      <c r="C400" s="324" t="s">
        <v>279</v>
      </c>
      <c r="D400" s="324" t="s">
        <v>228</v>
      </c>
      <c r="E400" s="324" t="s">
        <v>290</v>
      </c>
      <c r="F400" s="324" t="s">
        <v>651</v>
      </c>
      <c r="G400" s="313">
        <f>G399</f>
        <v>615</v>
      </c>
      <c r="H400" s="313">
        <f t="shared" ref="H400" si="229">H399</f>
        <v>615</v>
      </c>
      <c r="I400" s="337">
        <f t="shared" si="193"/>
        <v>100</v>
      </c>
    </row>
    <row r="401" spans="1:9" s="336" customFormat="1" ht="31.5" x14ac:dyDescent="0.25">
      <c r="A401" s="342" t="s">
        <v>1552</v>
      </c>
      <c r="B401" s="319" t="s">
        <v>1553</v>
      </c>
      <c r="C401" s="312"/>
      <c r="D401" s="312"/>
      <c r="E401" s="312"/>
      <c r="F401" s="312"/>
      <c r="G401" s="325">
        <f>G402</f>
        <v>1975.75</v>
      </c>
      <c r="H401" s="325">
        <f t="shared" ref="H401:H402" si="230">H402</f>
        <v>1567.4092000000001</v>
      </c>
      <c r="I401" s="4">
        <f t="shared" ref="I401:I464" si="231">H401/G401*100</f>
        <v>79.332364924712138</v>
      </c>
    </row>
    <row r="402" spans="1:9" s="336" customFormat="1" ht="15.75" x14ac:dyDescent="0.25">
      <c r="A402" s="323" t="s">
        <v>278</v>
      </c>
      <c r="B402" s="338" t="s">
        <v>1553</v>
      </c>
      <c r="C402" s="324" t="s">
        <v>279</v>
      </c>
      <c r="D402" s="324"/>
      <c r="E402" s="324"/>
      <c r="F402" s="324"/>
      <c r="G402" s="313">
        <f>G403</f>
        <v>1975.75</v>
      </c>
      <c r="H402" s="313">
        <f t="shared" si="230"/>
        <v>1567.4092000000001</v>
      </c>
      <c r="I402" s="337">
        <f t="shared" si="231"/>
        <v>79.332364924712138</v>
      </c>
    </row>
    <row r="403" spans="1:9" s="336" customFormat="1" ht="15.75" x14ac:dyDescent="0.25">
      <c r="A403" s="323" t="s">
        <v>440</v>
      </c>
      <c r="B403" s="338" t="s">
        <v>1553</v>
      </c>
      <c r="C403" s="324" t="s">
        <v>279</v>
      </c>
      <c r="D403" s="324" t="s">
        <v>228</v>
      </c>
      <c r="E403" s="324"/>
      <c r="F403" s="324"/>
      <c r="G403" s="313">
        <f>G404+G408</f>
        <v>1975.75</v>
      </c>
      <c r="H403" s="313">
        <f t="shared" ref="H403" si="232">H404+H408</f>
        <v>1567.4092000000001</v>
      </c>
      <c r="I403" s="337">
        <f t="shared" si="231"/>
        <v>79.332364924712138</v>
      </c>
    </row>
    <row r="404" spans="1:9" s="336" customFormat="1" ht="63" hidden="1" x14ac:dyDescent="0.25">
      <c r="A404" s="341" t="s">
        <v>1554</v>
      </c>
      <c r="B404" s="338" t="s">
        <v>1557</v>
      </c>
      <c r="C404" s="324" t="s">
        <v>279</v>
      </c>
      <c r="D404" s="324" t="s">
        <v>228</v>
      </c>
      <c r="E404" s="324"/>
      <c r="F404" s="324"/>
      <c r="G404" s="313">
        <f>G405</f>
        <v>0</v>
      </c>
      <c r="H404" s="313">
        <f t="shared" ref="H404:H405" si="233">H405</f>
        <v>0</v>
      </c>
      <c r="I404" s="337" t="e">
        <f t="shared" si="231"/>
        <v>#DIV/0!</v>
      </c>
    </row>
    <row r="405" spans="1:9" s="336" customFormat="1" ht="31.5" hidden="1" x14ac:dyDescent="0.25">
      <c r="A405" s="31" t="s">
        <v>287</v>
      </c>
      <c r="B405" s="338" t="s">
        <v>1557</v>
      </c>
      <c r="C405" s="324" t="s">
        <v>279</v>
      </c>
      <c r="D405" s="324" t="s">
        <v>228</v>
      </c>
      <c r="E405" s="324" t="s">
        <v>288</v>
      </c>
      <c r="F405" s="324"/>
      <c r="G405" s="313">
        <f>G406</f>
        <v>0</v>
      </c>
      <c r="H405" s="313">
        <f t="shared" si="233"/>
        <v>0</v>
      </c>
      <c r="I405" s="337" t="e">
        <f t="shared" si="231"/>
        <v>#DIV/0!</v>
      </c>
    </row>
    <row r="406" spans="1:9" s="336" customFormat="1" ht="15.75" hidden="1" x14ac:dyDescent="0.25">
      <c r="A406" s="31" t="s">
        <v>289</v>
      </c>
      <c r="B406" s="338" t="s">
        <v>1557</v>
      </c>
      <c r="C406" s="324" t="s">
        <v>279</v>
      </c>
      <c r="D406" s="324" t="s">
        <v>228</v>
      </c>
      <c r="E406" s="324" t="s">
        <v>290</v>
      </c>
      <c r="F406" s="324"/>
      <c r="G406" s="313">
        <f>'Пр.4 ведом.20'!G751</f>
        <v>0</v>
      </c>
      <c r="H406" s="313">
        <f>'Пр.4 ведом.20'!H751</f>
        <v>0</v>
      </c>
      <c r="I406" s="337" t="e">
        <f t="shared" si="231"/>
        <v>#DIV/0!</v>
      </c>
    </row>
    <row r="407" spans="1:9" s="336" customFormat="1" ht="31.5" hidden="1" x14ac:dyDescent="0.25">
      <c r="A407" s="323" t="s">
        <v>418</v>
      </c>
      <c r="B407" s="338" t="s">
        <v>1557</v>
      </c>
      <c r="C407" s="324" t="s">
        <v>279</v>
      </c>
      <c r="D407" s="324" t="s">
        <v>228</v>
      </c>
      <c r="E407" s="324" t="s">
        <v>290</v>
      </c>
      <c r="F407" s="324" t="s">
        <v>651</v>
      </c>
      <c r="G407" s="313">
        <f>G406</f>
        <v>0</v>
      </c>
      <c r="H407" s="313">
        <f t="shared" ref="H407" si="234">H406</f>
        <v>0</v>
      </c>
      <c r="I407" s="337" t="e">
        <f t="shared" si="231"/>
        <v>#DIV/0!</v>
      </c>
    </row>
    <row r="408" spans="1:9" s="336" customFormat="1" ht="63" x14ac:dyDescent="0.25">
      <c r="A408" s="341" t="s">
        <v>1556</v>
      </c>
      <c r="B408" s="338" t="s">
        <v>1567</v>
      </c>
      <c r="C408" s="324" t="s">
        <v>279</v>
      </c>
      <c r="D408" s="324" t="s">
        <v>228</v>
      </c>
      <c r="E408" s="324"/>
      <c r="F408" s="324"/>
      <c r="G408" s="313">
        <f>G409</f>
        <v>1975.75</v>
      </c>
      <c r="H408" s="313">
        <f t="shared" ref="H408:H409" si="235">H409</f>
        <v>1567.4092000000001</v>
      </c>
      <c r="I408" s="337">
        <f t="shared" si="231"/>
        <v>79.332364924712138</v>
      </c>
    </row>
    <row r="409" spans="1:9" s="336" customFormat="1" ht="31.5" x14ac:dyDescent="0.25">
      <c r="A409" s="31" t="s">
        <v>287</v>
      </c>
      <c r="B409" s="347" t="s">
        <v>1567</v>
      </c>
      <c r="C409" s="324" t="s">
        <v>279</v>
      </c>
      <c r="D409" s="324" t="s">
        <v>228</v>
      </c>
      <c r="E409" s="324" t="s">
        <v>288</v>
      </c>
      <c r="F409" s="324"/>
      <c r="G409" s="313">
        <f>G410</f>
        <v>1975.75</v>
      </c>
      <c r="H409" s="313">
        <f t="shared" si="235"/>
        <v>1567.4092000000001</v>
      </c>
      <c r="I409" s="337">
        <f t="shared" si="231"/>
        <v>79.332364924712138</v>
      </c>
    </row>
    <row r="410" spans="1:9" s="336" customFormat="1" ht="15.75" x14ac:dyDescent="0.25">
      <c r="A410" s="31" t="s">
        <v>289</v>
      </c>
      <c r="B410" s="347" t="s">
        <v>1567</v>
      </c>
      <c r="C410" s="324" t="s">
        <v>279</v>
      </c>
      <c r="D410" s="324" t="s">
        <v>228</v>
      </c>
      <c r="E410" s="324" t="s">
        <v>290</v>
      </c>
      <c r="F410" s="324"/>
      <c r="G410" s="313">
        <f>'Пр.4 ведом.20'!G754</f>
        <v>1975.75</v>
      </c>
      <c r="H410" s="313">
        <f>'Пр.4 ведом.20'!H754</f>
        <v>1567.4092000000001</v>
      </c>
      <c r="I410" s="337">
        <f t="shared" si="231"/>
        <v>79.332364924712138</v>
      </c>
    </row>
    <row r="411" spans="1:9" s="336" customFormat="1" ht="31.5" x14ac:dyDescent="0.25">
      <c r="A411" s="323" t="s">
        <v>418</v>
      </c>
      <c r="B411" s="347" t="s">
        <v>1567</v>
      </c>
      <c r="C411" s="324" t="s">
        <v>279</v>
      </c>
      <c r="D411" s="324" t="s">
        <v>228</v>
      </c>
      <c r="E411" s="324" t="s">
        <v>290</v>
      </c>
      <c r="F411" s="324" t="s">
        <v>651</v>
      </c>
      <c r="G411" s="313">
        <f>G410</f>
        <v>1975.75</v>
      </c>
      <c r="H411" s="313">
        <f t="shared" ref="H411" si="236">H410</f>
        <v>1567.4092000000001</v>
      </c>
      <c r="I411" s="337">
        <f t="shared" si="231"/>
        <v>79.332364924712138</v>
      </c>
    </row>
    <row r="412" spans="1:9" s="210" customFormat="1" ht="48.2" customHeight="1" x14ac:dyDescent="0.25">
      <c r="A412" s="222" t="s">
        <v>1406</v>
      </c>
      <c r="B412" s="24" t="s">
        <v>1404</v>
      </c>
      <c r="C412" s="40"/>
      <c r="D412" s="40"/>
      <c r="E412" s="40"/>
      <c r="F412" s="40"/>
      <c r="G412" s="59">
        <f>G413</f>
        <v>1164.8389999999999</v>
      </c>
      <c r="H412" s="325">
        <f t="shared" ref="H412" si="237">H413</f>
        <v>1164.8389999999999</v>
      </c>
      <c r="I412" s="4">
        <f t="shared" si="231"/>
        <v>100</v>
      </c>
    </row>
    <row r="413" spans="1:9" s="210" customFormat="1" ht="15" customHeight="1" x14ac:dyDescent="0.25">
      <c r="A413" s="29" t="s">
        <v>278</v>
      </c>
      <c r="B413" s="20" t="s">
        <v>1404</v>
      </c>
      <c r="C413" s="40" t="s">
        <v>279</v>
      </c>
      <c r="D413" s="40"/>
      <c r="E413" s="40"/>
      <c r="F413" s="40"/>
      <c r="G413" s="10">
        <f>G414+G419</f>
        <v>1164.8389999999999</v>
      </c>
      <c r="H413" s="313">
        <f t="shared" ref="H413" si="238">H414+H419</f>
        <v>1164.8389999999999</v>
      </c>
      <c r="I413" s="337">
        <f t="shared" si="231"/>
        <v>100</v>
      </c>
    </row>
    <row r="414" spans="1:9" s="210" customFormat="1" ht="19.5" customHeight="1" x14ac:dyDescent="0.25">
      <c r="A414" s="29" t="s">
        <v>440</v>
      </c>
      <c r="B414" s="20" t="s">
        <v>1404</v>
      </c>
      <c r="C414" s="40" t="s">
        <v>279</v>
      </c>
      <c r="D414" s="40" t="s">
        <v>228</v>
      </c>
      <c r="E414" s="40"/>
      <c r="F414" s="40"/>
      <c r="G414" s="10">
        <f>G415</f>
        <v>1164.8389999999999</v>
      </c>
      <c r="H414" s="313">
        <f t="shared" ref="H414:H416" si="239">H415</f>
        <v>1164.8389999999999</v>
      </c>
      <c r="I414" s="337">
        <f t="shared" si="231"/>
        <v>100</v>
      </c>
    </row>
    <row r="415" spans="1:9" s="210" customFormat="1" ht="48.75" customHeight="1" x14ac:dyDescent="0.25">
      <c r="A415" s="193" t="s">
        <v>1445</v>
      </c>
      <c r="B415" s="20" t="s">
        <v>1405</v>
      </c>
      <c r="C415" s="40" t="s">
        <v>279</v>
      </c>
      <c r="D415" s="40" t="s">
        <v>228</v>
      </c>
      <c r="E415" s="40"/>
      <c r="F415" s="40"/>
      <c r="G415" s="10">
        <f>G416</f>
        <v>1164.8389999999999</v>
      </c>
      <c r="H415" s="313">
        <f t="shared" si="239"/>
        <v>1164.8389999999999</v>
      </c>
      <c r="I415" s="337">
        <f t="shared" si="231"/>
        <v>100</v>
      </c>
    </row>
    <row r="416" spans="1:9" s="210" customFormat="1" ht="33.75" customHeight="1" x14ac:dyDescent="0.25">
      <c r="A416" s="31" t="s">
        <v>287</v>
      </c>
      <c r="B416" s="20" t="s">
        <v>1405</v>
      </c>
      <c r="C416" s="40" t="s">
        <v>279</v>
      </c>
      <c r="D416" s="40" t="s">
        <v>228</v>
      </c>
      <c r="E416" s="40" t="s">
        <v>288</v>
      </c>
      <c r="F416" s="40"/>
      <c r="G416" s="10">
        <f>G417</f>
        <v>1164.8389999999999</v>
      </c>
      <c r="H416" s="313">
        <f t="shared" si="239"/>
        <v>1164.8389999999999</v>
      </c>
      <c r="I416" s="337">
        <f t="shared" si="231"/>
        <v>100</v>
      </c>
    </row>
    <row r="417" spans="1:9" s="210" customFormat="1" ht="21.2" customHeight="1" x14ac:dyDescent="0.25">
      <c r="A417" s="31" t="s">
        <v>289</v>
      </c>
      <c r="B417" s="20" t="s">
        <v>1405</v>
      </c>
      <c r="C417" s="40" t="s">
        <v>279</v>
      </c>
      <c r="D417" s="40" t="s">
        <v>228</v>
      </c>
      <c r="E417" s="40" t="s">
        <v>290</v>
      </c>
      <c r="F417" s="40"/>
      <c r="G417" s="10">
        <f>'Пр.4 ведом.20'!G758</f>
        <v>1164.8389999999999</v>
      </c>
      <c r="H417" s="313">
        <f>'Пр.4 ведом.20'!H758</f>
        <v>1164.8389999999999</v>
      </c>
      <c r="I417" s="337">
        <f t="shared" si="231"/>
        <v>100</v>
      </c>
    </row>
    <row r="418" spans="1:9" s="210" customFormat="1" ht="31.7" customHeight="1" x14ac:dyDescent="0.25">
      <c r="A418" s="29" t="s">
        <v>418</v>
      </c>
      <c r="B418" s="20" t="s">
        <v>1405</v>
      </c>
      <c r="C418" s="40" t="s">
        <v>279</v>
      </c>
      <c r="D418" s="40" t="s">
        <v>228</v>
      </c>
      <c r="E418" s="40" t="s">
        <v>290</v>
      </c>
      <c r="F418" s="40" t="s">
        <v>651</v>
      </c>
      <c r="G418" s="10">
        <f>G412</f>
        <v>1164.8389999999999</v>
      </c>
      <c r="H418" s="313">
        <f t="shared" ref="H418" si="240">H412</f>
        <v>1164.8389999999999</v>
      </c>
      <c r="I418" s="337">
        <f t="shared" si="231"/>
        <v>100</v>
      </c>
    </row>
    <row r="419" spans="1:9" s="309" customFormat="1" ht="67.7" hidden="1" customHeight="1" x14ac:dyDescent="0.25">
      <c r="A419" s="193" t="s">
        <v>1524</v>
      </c>
      <c r="B419" s="316" t="s">
        <v>1523</v>
      </c>
      <c r="C419" s="324" t="s">
        <v>279</v>
      </c>
      <c r="D419" s="324" t="s">
        <v>228</v>
      </c>
      <c r="E419" s="324"/>
      <c r="F419" s="324"/>
      <c r="G419" s="313">
        <f>G420</f>
        <v>0</v>
      </c>
      <c r="H419" s="313">
        <f t="shared" ref="H419:H420" si="241">H420</f>
        <v>0</v>
      </c>
      <c r="I419" s="337" t="e">
        <f t="shared" si="231"/>
        <v>#DIV/0!</v>
      </c>
    </row>
    <row r="420" spans="1:9" s="309" customFormat="1" ht="38.85" hidden="1" customHeight="1" x14ac:dyDescent="0.25">
      <c r="A420" s="31" t="s">
        <v>287</v>
      </c>
      <c r="B420" s="316" t="s">
        <v>1523</v>
      </c>
      <c r="C420" s="324" t="s">
        <v>279</v>
      </c>
      <c r="D420" s="324" t="s">
        <v>228</v>
      </c>
      <c r="E420" s="324" t="s">
        <v>288</v>
      </c>
      <c r="F420" s="324"/>
      <c r="G420" s="313">
        <f>G421</f>
        <v>0</v>
      </c>
      <c r="H420" s="313">
        <f t="shared" si="241"/>
        <v>0</v>
      </c>
      <c r="I420" s="337" t="e">
        <f t="shared" si="231"/>
        <v>#DIV/0!</v>
      </c>
    </row>
    <row r="421" spans="1:9" s="309" customFormat="1" ht="19.149999999999999" hidden="1" customHeight="1" x14ac:dyDescent="0.25">
      <c r="A421" s="31" t="s">
        <v>289</v>
      </c>
      <c r="B421" s="316" t="s">
        <v>1523</v>
      </c>
      <c r="C421" s="324" t="s">
        <v>279</v>
      </c>
      <c r="D421" s="324" t="s">
        <v>228</v>
      </c>
      <c r="E421" s="324" t="s">
        <v>290</v>
      </c>
      <c r="F421" s="324"/>
      <c r="G421" s="313">
        <f>'Пр.4 ведом.20'!G761</f>
        <v>0</v>
      </c>
      <c r="H421" s="313">
        <f>'Пр.4 ведом.20'!H761</f>
        <v>0</v>
      </c>
      <c r="I421" s="337" t="e">
        <f t="shared" si="231"/>
        <v>#DIV/0!</v>
      </c>
    </row>
    <row r="422" spans="1:9" s="309" customFormat="1" ht="31.7" hidden="1" customHeight="1" x14ac:dyDescent="0.25">
      <c r="A422" s="323" t="s">
        <v>418</v>
      </c>
      <c r="B422" s="316" t="s">
        <v>1523</v>
      </c>
      <c r="C422" s="324" t="s">
        <v>279</v>
      </c>
      <c r="D422" s="324" t="s">
        <v>228</v>
      </c>
      <c r="E422" s="324" t="s">
        <v>290</v>
      </c>
      <c r="F422" s="324" t="s">
        <v>651</v>
      </c>
      <c r="G422" s="313">
        <f>G419</f>
        <v>0</v>
      </c>
      <c r="H422" s="313">
        <f t="shared" ref="H422" si="242">H419</f>
        <v>0</v>
      </c>
      <c r="I422" s="337" t="e">
        <f t="shared" si="231"/>
        <v>#DIV/0!</v>
      </c>
    </row>
    <row r="423" spans="1:9" ht="36" customHeight="1" x14ac:dyDescent="0.25">
      <c r="A423" s="41" t="s">
        <v>461</v>
      </c>
      <c r="B423" s="7" t="s">
        <v>462</v>
      </c>
      <c r="C423" s="7"/>
      <c r="D423" s="7"/>
      <c r="E423" s="7"/>
      <c r="F423" s="7"/>
      <c r="G423" s="59">
        <f>G432+G424</f>
        <v>414.2</v>
      </c>
      <c r="H423" s="325">
        <f t="shared" ref="H423" si="243">H432+H424</f>
        <v>340.76669999999996</v>
      </c>
      <c r="I423" s="4">
        <f t="shared" si="231"/>
        <v>82.271052631578939</v>
      </c>
    </row>
    <row r="424" spans="1:9" s="309" customFormat="1" ht="36" customHeight="1" x14ac:dyDescent="0.25">
      <c r="A424" s="318" t="s">
        <v>1050</v>
      </c>
      <c r="B424" s="319" t="s">
        <v>1231</v>
      </c>
      <c r="C424" s="312"/>
      <c r="D424" s="312"/>
      <c r="E424" s="312"/>
      <c r="F424" s="312"/>
      <c r="G424" s="325">
        <f>G425</f>
        <v>50</v>
      </c>
      <c r="H424" s="325">
        <f t="shared" ref="H424:H428" si="244">H425</f>
        <v>0</v>
      </c>
      <c r="I424" s="4">
        <f t="shared" si="231"/>
        <v>0</v>
      </c>
    </row>
    <row r="425" spans="1:9" s="309" customFormat="1" ht="15.75" x14ac:dyDescent="0.25">
      <c r="A425" s="323" t="s">
        <v>278</v>
      </c>
      <c r="B425" s="316" t="s">
        <v>1231</v>
      </c>
      <c r="C425" s="324" t="s">
        <v>279</v>
      </c>
      <c r="D425" s="324"/>
      <c r="E425" s="324"/>
      <c r="F425" s="324"/>
      <c r="G425" s="313">
        <f>G426</f>
        <v>50</v>
      </c>
      <c r="H425" s="313">
        <f t="shared" si="244"/>
        <v>0</v>
      </c>
      <c r="I425" s="337">
        <f t="shared" si="231"/>
        <v>0</v>
      </c>
    </row>
    <row r="426" spans="1:9" s="309" customFormat="1" ht="15.75" x14ac:dyDescent="0.25">
      <c r="A426" s="323" t="s">
        <v>280</v>
      </c>
      <c r="B426" s="316" t="s">
        <v>1231</v>
      </c>
      <c r="C426" s="324" t="s">
        <v>279</v>
      </c>
      <c r="D426" s="324" t="s">
        <v>230</v>
      </c>
      <c r="E426" s="324"/>
      <c r="F426" s="324"/>
      <c r="G426" s="313">
        <f>G427</f>
        <v>50</v>
      </c>
      <c r="H426" s="313">
        <f t="shared" si="244"/>
        <v>0</v>
      </c>
      <c r="I426" s="337">
        <f t="shared" si="231"/>
        <v>0</v>
      </c>
    </row>
    <row r="427" spans="1:9" s="309" customFormat="1" ht="36" customHeight="1" x14ac:dyDescent="0.25">
      <c r="A427" s="320" t="s">
        <v>293</v>
      </c>
      <c r="B427" s="316" t="s">
        <v>1537</v>
      </c>
      <c r="C427" s="324" t="s">
        <v>279</v>
      </c>
      <c r="D427" s="324" t="s">
        <v>230</v>
      </c>
      <c r="E427" s="312"/>
      <c r="F427" s="312"/>
      <c r="G427" s="313">
        <f>G428</f>
        <v>50</v>
      </c>
      <c r="H427" s="313">
        <f t="shared" si="244"/>
        <v>0</v>
      </c>
      <c r="I427" s="337">
        <f t="shared" si="231"/>
        <v>0</v>
      </c>
    </row>
    <row r="428" spans="1:9" s="309" customFormat="1" ht="36" customHeight="1" x14ac:dyDescent="0.25">
      <c r="A428" s="31" t="s">
        <v>287</v>
      </c>
      <c r="B428" s="316" t="s">
        <v>1537</v>
      </c>
      <c r="C428" s="324" t="s">
        <v>279</v>
      </c>
      <c r="D428" s="324" t="s">
        <v>230</v>
      </c>
      <c r="E428" s="324" t="s">
        <v>288</v>
      </c>
      <c r="F428" s="312"/>
      <c r="G428" s="313">
        <f>G429</f>
        <v>50</v>
      </c>
      <c r="H428" s="313">
        <f t="shared" si="244"/>
        <v>0</v>
      </c>
      <c r="I428" s="337">
        <f t="shared" si="231"/>
        <v>0</v>
      </c>
    </row>
    <row r="429" spans="1:9" s="309" customFormat="1" ht="15.75" x14ac:dyDescent="0.25">
      <c r="A429" s="31" t="s">
        <v>289</v>
      </c>
      <c r="B429" s="316" t="s">
        <v>1537</v>
      </c>
      <c r="C429" s="324" t="s">
        <v>279</v>
      </c>
      <c r="D429" s="324" t="s">
        <v>230</v>
      </c>
      <c r="E429" s="324" t="s">
        <v>290</v>
      </c>
      <c r="F429" s="312"/>
      <c r="G429" s="313">
        <f>'Пр.4 ведом.20'!G796</f>
        <v>50</v>
      </c>
      <c r="H429" s="313">
        <f>'Пр.4 ведом.20'!H796</f>
        <v>0</v>
      </c>
      <c r="I429" s="337">
        <f t="shared" si="231"/>
        <v>0</v>
      </c>
    </row>
    <row r="430" spans="1:9" s="309" customFormat="1" ht="31.5" x14ac:dyDescent="0.25">
      <c r="A430" s="323" t="s">
        <v>418</v>
      </c>
      <c r="B430" s="316" t="s">
        <v>1537</v>
      </c>
      <c r="C430" s="324" t="s">
        <v>279</v>
      </c>
      <c r="D430" s="324" t="s">
        <v>230</v>
      </c>
      <c r="E430" s="324" t="s">
        <v>290</v>
      </c>
      <c r="F430" s="324" t="s">
        <v>651</v>
      </c>
      <c r="G430" s="313">
        <f>G424</f>
        <v>50</v>
      </c>
      <c r="H430" s="313">
        <f t="shared" ref="H430" si="245">H424</f>
        <v>0</v>
      </c>
      <c r="I430" s="337">
        <f t="shared" si="231"/>
        <v>0</v>
      </c>
    </row>
    <row r="431" spans="1:9" s="210" customFormat="1" ht="36" customHeight="1" x14ac:dyDescent="0.25">
      <c r="A431" s="224" t="s">
        <v>1075</v>
      </c>
      <c r="B431" s="24" t="s">
        <v>1051</v>
      </c>
      <c r="C431" s="7"/>
      <c r="D431" s="7"/>
      <c r="E431" s="7"/>
      <c r="F431" s="7"/>
      <c r="G431" s="59">
        <f>G432</f>
        <v>364.2</v>
      </c>
      <c r="H431" s="325">
        <f t="shared" ref="H431" si="246">H432</f>
        <v>340.76669999999996</v>
      </c>
      <c r="I431" s="4">
        <f t="shared" si="231"/>
        <v>93.565815485996694</v>
      </c>
    </row>
    <row r="432" spans="1:9" ht="16.5" customHeight="1" x14ac:dyDescent="0.25">
      <c r="A432" s="29" t="s">
        <v>278</v>
      </c>
      <c r="B432" s="40" t="s">
        <v>1051</v>
      </c>
      <c r="C432" s="40" t="s">
        <v>279</v>
      </c>
      <c r="D432" s="40"/>
      <c r="E432" s="40"/>
      <c r="F432" s="40"/>
      <c r="G432" s="10">
        <f t="shared" ref="G432:H432" si="247">G433</f>
        <v>364.2</v>
      </c>
      <c r="H432" s="313">
        <f t="shared" si="247"/>
        <v>340.76669999999996</v>
      </c>
      <c r="I432" s="337">
        <f t="shared" si="231"/>
        <v>93.565815485996694</v>
      </c>
    </row>
    <row r="433" spans="1:9" ht="17.45" customHeight="1" x14ac:dyDescent="0.25">
      <c r="A433" s="29" t="s">
        <v>280</v>
      </c>
      <c r="B433" s="40" t="s">
        <v>1051</v>
      </c>
      <c r="C433" s="40" t="s">
        <v>279</v>
      </c>
      <c r="D433" s="40" t="s">
        <v>230</v>
      </c>
      <c r="E433" s="40"/>
      <c r="F433" s="40"/>
      <c r="G433" s="10">
        <f>G438+G434</f>
        <v>364.2</v>
      </c>
      <c r="H433" s="313">
        <f t="shared" ref="H433" si="248">H438+H434</f>
        <v>340.76669999999996</v>
      </c>
      <c r="I433" s="337">
        <f t="shared" si="231"/>
        <v>93.565815485996694</v>
      </c>
    </row>
    <row r="434" spans="1:9" s="309" customFormat="1" ht="17.45" customHeight="1" x14ac:dyDescent="0.25">
      <c r="A434" s="335" t="s">
        <v>1538</v>
      </c>
      <c r="B434" s="316" t="s">
        <v>1539</v>
      </c>
      <c r="C434" s="324" t="s">
        <v>279</v>
      </c>
      <c r="D434" s="324" t="s">
        <v>230</v>
      </c>
      <c r="E434" s="312"/>
      <c r="F434" s="312"/>
      <c r="G434" s="313">
        <f>G435</f>
        <v>25.2</v>
      </c>
      <c r="H434" s="313">
        <f t="shared" ref="H434:H435" si="249">H435</f>
        <v>25.128</v>
      </c>
      <c r="I434" s="337">
        <f t="shared" si="231"/>
        <v>99.714285714285722</v>
      </c>
    </row>
    <row r="435" spans="1:9" s="309" customFormat="1" ht="31.5" x14ac:dyDescent="0.25">
      <c r="A435" s="31" t="s">
        <v>287</v>
      </c>
      <c r="B435" s="316" t="s">
        <v>1539</v>
      </c>
      <c r="C435" s="324" t="s">
        <v>279</v>
      </c>
      <c r="D435" s="324" t="s">
        <v>230</v>
      </c>
      <c r="E435" s="324" t="s">
        <v>288</v>
      </c>
      <c r="F435" s="312"/>
      <c r="G435" s="313">
        <f>G436</f>
        <v>25.2</v>
      </c>
      <c r="H435" s="313">
        <f t="shared" si="249"/>
        <v>25.128</v>
      </c>
      <c r="I435" s="337">
        <f t="shared" si="231"/>
        <v>99.714285714285722</v>
      </c>
    </row>
    <row r="436" spans="1:9" s="309" customFormat="1" ht="17.45" customHeight="1" x14ac:dyDescent="0.25">
      <c r="A436" s="31" t="s">
        <v>289</v>
      </c>
      <c r="B436" s="316" t="s">
        <v>1539</v>
      </c>
      <c r="C436" s="324" t="s">
        <v>279</v>
      </c>
      <c r="D436" s="324" t="s">
        <v>230</v>
      </c>
      <c r="E436" s="324" t="s">
        <v>290</v>
      </c>
      <c r="F436" s="312"/>
      <c r="G436" s="313">
        <f>'Пр.4 ведом.20'!G800</f>
        <v>25.2</v>
      </c>
      <c r="H436" s="313">
        <f>'Пр.4 ведом.20'!H800</f>
        <v>25.128</v>
      </c>
      <c r="I436" s="337">
        <f t="shared" si="231"/>
        <v>99.714285714285722</v>
      </c>
    </row>
    <row r="437" spans="1:9" s="309" customFormat="1" ht="31.5" x14ac:dyDescent="0.25">
      <c r="A437" s="323" t="s">
        <v>418</v>
      </c>
      <c r="B437" s="316" t="s">
        <v>1539</v>
      </c>
      <c r="C437" s="324" t="s">
        <v>279</v>
      </c>
      <c r="D437" s="324" t="s">
        <v>230</v>
      </c>
      <c r="E437" s="324" t="s">
        <v>290</v>
      </c>
      <c r="F437" s="324" t="s">
        <v>651</v>
      </c>
      <c r="G437" s="313">
        <f>G434</f>
        <v>25.2</v>
      </c>
      <c r="H437" s="313">
        <f t="shared" ref="H437" si="250">H434</f>
        <v>25.128</v>
      </c>
      <c r="I437" s="337">
        <f t="shared" si="231"/>
        <v>99.714285714285722</v>
      </c>
    </row>
    <row r="438" spans="1:9" ht="31.5" x14ac:dyDescent="0.25">
      <c r="A438" s="45" t="s">
        <v>785</v>
      </c>
      <c r="B438" s="20" t="s">
        <v>1052</v>
      </c>
      <c r="C438" s="20" t="s">
        <v>279</v>
      </c>
      <c r="D438" s="20" t="s">
        <v>230</v>
      </c>
      <c r="E438" s="20"/>
      <c r="F438" s="20"/>
      <c r="G438" s="10">
        <f t="shared" ref="G438:H439" si="251">G439</f>
        <v>339</v>
      </c>
      <c r="H438" s="313">
        <f t="shared" si="251"/>
        <v>315.63869999999997</v>
      </c>
      <c r="I438" s="337">
        <f t="shared" si="231"/>
        <v>93.108761061946893</v>
      </c>
    </row>
    <row r="439" spans="1:9" ht="31.5" x14ac:dyDescent="0.25">
      <c r="A439" s="29" t="s">
        <v>287</v>
      </c>
      <c r="B439" s="20" t="s">
        <v>1052</v>
      </c>
      <c r="C439" s="20" t="s">
        <v>279</v>
      </c>
      <c r="D439" s="20" t="s">
        <v>230</v>
      </c>
      <c r="E439" s="20" t="s">
        <v>288</v>
      </c>
      <c r="F439" s="20"/>
      <c r="G439" s="10">
        <f t="shared" si="251"/>
        <v>339</v>
      </c>
      <c r="H439" s="313">
        <f t="shared" si="251"/>
        <v>315.63869999999997</v>
      </c>
      <c r="I439" s="337">
        <f t="shared" si="231"/>
        <v>93.108761061946893</v>
      </c>
    </row>
    <row r="440" spans="1:9" ht="15.75" x14ac:dyDescent="0.25">
      <c r="A440" s="31" t="s">
        <v>289</v>
      </c>
      <c r="B440" s="20" t="s">
        <v>1052</v>
      </c>
      <c r="C440" s="20" t="s">
        <v>279</v>
      </c>
      <c r="D440" s="20" t="s">
        <v>230</v>
      </c>
      <c r="E440" s="20" t="s">
        <v>290</v>
      </c>
      <c r="F440" s="20"/>
      <c r="G440" s="10">
        <f>'Пр.4 ведом.20'!G803</f>
        <v>339</v>
      </c>
      <c r="H440" s="313">
        <f>'Пр.4 ведом.20'!H803</f>
        <v>315.63869999999997</v>
      </c>
      <c r="I440" s="337">
        <f t="shared" si="231"/>
        <v>93.108761061946893</v>
      </c>
    </row>
    <row r="441" spans="1:9" s="210" customFormat="1" ht="34.5" customHeight="1" x14ac:dyDescent="0.25">
      <c r="A441" s="29" t="s">
        <v>418</v>
      </c>
      <c r="B441" s="20" t="s">
        <v>1052</v>
      </c>
      <c r="C441" s="40" t="s">
        <v>279</v>
      </c>
      <c r="D441" s="40" t="s">
        <v>230</v>
      </c>
      <c r="E441" s="40" t="s">
        <v>290</v>
      </c>
      <c r="F441" s="40" t="s">
        <v>651</v>
      </c>
      <c r="G441" s="10">
        <f>G440</f>
        <v>339</v>
      </c>
      <c r="H441" s="313">
        <f t="shared" ref="H441" si="252">H440</f>
        <v>315.63869999999997</v>
      </c>
      <c r="I441" s="337">
        <f t="shared" si="231"/>
        <v>93.108761061946893</v>
      </c>
    </row>
    <row r="442" spans="1:9" ht="31.5" x14ac:dyDescent="0.25">
      <c r="A442" s="41" t="s">
        <v>482</v>
      </c>
      <c r="B442" s="7" t="s">
        <v>484</v>
      </c>
      <c r="C442" s="7"/>
      <c r="D442" s="7"/>
      <c r="E442" s="7"/>
      <c r="F442" s="7"/>
      <c r="G442" s="59">
        <f>G443</f>
        <v>4772.2999999999993</v>
      </c>
      <c r="H442" s="325">
        <f t="shared" ref="H442:H443" si="253">H443</f>
        <v>3655.71585</v>
      </c>
      <c r="I442" s="4">
        <f t="shared" si="231"/>
        <v>76.602808918131728</v>
      </c>
    </row>
    <row r="443" spans="1:9" s="210" customFormat="1" ht="31.5" x14ac:dyDescent="0.25">
      <c r="A443" s="23" t="s">
        <v>1054</v>
      </c>
      <c r="B443" s="24" t="s">
        <v>1055</v>
      </c>
      <c r="C443" s="7"/>
      <c r="D443" s="7"/>
      <c r="E443" s="7"/>
      <c r="F443" s="7"/>
      <c r="G443" s="59">
        <f>G444</f>
        <v>4772.2999999999993</v>
      </c>
      <c r="H443" s="325">
        <f t="shared" si="253"/>
        <v>3655.71585</v>
      </c>
      <c r="I443" s="4">
        <f t="shared" si="231"/>
        <v>76.602808918131728</v>
      </c>
    </row>
    <row r="444" spans="1:9" ht="15.75" x14ac:dyDescent="0.25">
      <c r="A444" s="29" t="s">
        <v>278</v>
      </c>
      <c r="B444" s="40" t="s">
        <v>1055</v>
      </c>
      <c r="C444" s="40" t="s">
        <v>279</v>
      </c>
      <c r="D444" s="40"/>
      <c r="E444" s="40"/>
      <c r="F444" s="40"/>
      <c r="G444" s="10">
        <f t="shared" ref="G444:H447" si="254">G445</f>
        <v>4772.2999999999993</v>
      </c>
      <c r="H444" s="313">
        <f t="shared" si="254"/>
        <v>3655.71585</v>
      </c>
      <c r="I444" s="337">
        <f t="shared" si="231"/>
        <v>76.602808918131728</v>
      </c>
    </row>
    <row r="445" spans="1:9" ht="15.75" x14ac:dyDescent="0.25">
      <c r="A445" s="29" t="s">
        <v>481</v>
      </c>
      <c r="B445" s="40" t="s">
        <v>1055</v>
      </c>
      <c r="C445" s="40" t="s">
        <v>279</v>
      </c>
      <c r="D445" s="40" t="s">
        <v>279</v>
      </c>
      <c r="E445" s="40"/>
      <c r="F445" s="40"/>
      <c r="G445" s="10">
        <f>G446+G450</f>
        <v>4772.2999999999993</v>
      </c>
      <c r="H445" s="313">
        <f t="shared" ref="H445" si="255">H446+H450</f>
        <v>3655.71585</v>
      </c>
      <c r="I445" s="337">
        <f t="shared" si="231"/>
        <v>76.602808918131728</v>
      </c>
    </row>
    <row r="446" spans="1:9" ht="31.5" x14ac:dyDescent="0.25">
      <c r="A446" s="31" t="s">
        <v>1233</v>
      </c>
      <c r="B446" s="20" t="s">
        <v>1056</v>
      </c>
      <c r="C446" s="40" t="s">
        <v>279</v>
      </c>
      <c r="D446" s="40" t="s">
        <v>279</v>
      </c>
      <c r="E446" s="40"/>
      <c r="F446" s="40"/>
      <c r="G446" s="10">
        <f t="shared" si="254"/>
        <v>1693.4999999999995</v>
      </c>
      <c r="H446" s="313">
        <f t="shared" si="254"/>
        <v>1693.00845</v>
      </c>
      <c r="I446" s="337">
        <f t="shared" si="231"/>
        <v>99.970974313551835</v>
      </c>
    </row>
    <row r="447" spans="1:9" ht="31.5" x14ac:dyDescent="0.25">
      <c r="A447" s="25" t="s">
        <v>287</v>
      </c>
      <c r="B447" s="20" t="s">
        <v>1056</v>
      </c>
      <c r="C447" s="40" t="s">
        <v>279</v>
      </c>
      <c r="D447" s="40" t="s">
        <v>279</v>
      </c>
      <c r="E447" s="40" t="s">
        <v>288</v>
      </c>
      <c r="F447" s="40"/>
      <c r="G447" s="10">
        <f t="shared" si="254"/>
        <v>1693.4999999999995</v>
      </c>
      <c r="H447" s="313">
        <f t="shared" si="254"/>
        <v>1693.00845</v>
      </c>
      <c r="I447" s="337">
        <f t="shared" si="231"/>
        <v>99.970974313551835</v>
      </c>
    </row>
    <row r="448" spans="1:9" ht="15.75" x14ac:dyDescent="0.25">
      <c r="A448" s="25" t="s">
        <v>289</v>
      </c>
      <c r="B448" s="20" t="s">
        <v>1056</v>
      </c>
      <c r="C448" s="40" t="s">
        <v>279</v>
      </c>
      <c r="D448" s="40" t="s">
        <v>279</v>
      </c>
      <c r="E448" s="40" t="s">
        <v>290</v>
      </c>
      <c r="F448" s="40"/>
      <c r="G448" s="10">
        <f>'Пр.4 ведом.20'!G815</f>
        <v>1693.4999999999995</v>
      </c>
      <c r="H448" s="313">
        <f>'Пр.4 ведом.20'!H815</f>
        <v>1693.00845</v>
      </c>
      <c r="I448" s="337">
        <f t="shared" si="231"/>
        <v>99.970974313551835</v>
      </c>
    </row>
    <row r="449" spans="1:9" s="210" customFormat="1" ht="31.5" x14ac:dyDescent="0.25">
      <c r="A449" s="29" t="s">
        <v>418</v>
      </c>
      <c r="B449" s="20" t="s">
        <v>1056</v>
      </c>
      <c r="C449" s="40" t="s">
        <v>279</v>
      </c>
      <c r="D449" s="40" t="s">
        <v>279</v>
      </c>
      <c r="E449" s="40" t="s">
        <v>290</v>
      </c>
      <c r="F449" s="40" t="s">
        <v>651</v>
      </c>
      <c r="G449" s="10">
        <f>G448</f>
        <v>1693.4999999999995</v>
      </c>
      <c r="H449" s="313">
        <f t="shared" ref="H449" si="256">H448</f>
        <v>1693.00845</v>
      </c>
      <c r="I449" s="337">
        <f t="shared" si="231"/>
        <v>99.970974313551835</v>
      </c>
    </row>
    <row r="450" spans="1:9" s="210" customFormat="1" ht="31.5" x14ac:dyDescent="0.25">
      <c r="A450" s="31" t="s">
        <v>489</v>
      </c>
      <c r="B450" s="20" t="s">
        <v>1057</v>
      </c>
      <c r="C450" s="40" t="s">
        <v>279</v>
      </c>
      <c r="D450" s="40" t="s">
        <v>279</v>
      </c>
      <c r="E450" s="40"/>
      <c r="F450" s="40"/>
      <c r="G450" s="10">
        <f>G451</f>
        <v>3078.8</v>
      </c>
      <c r="H450" s="313">
        <f t="shared" ref="H450:H451" si="257">H451</f>
        <v>1962.7074</v>
      </c>
      <c r="I450" s="337">
        <f t="shared" si="231"/>
        <v>63.74910354683643</v>
      </c>
    </row>
    <row r="451" spans="1:9" s="210" customFormat="1" ht="31.5" x14ac:dyDescent="0.25">
      <c r="A451" s="25" t="s">
        <v>287</v>
      </c>
      <c r="B451" s="20" t="s">
        <v>1057</v>
      </c>
      <c r="C451" s="40" t="s">
        <v>279</v>
      </c>
      <c r="D451" s="40" t="s">
        <v>279</v>
      </c>
      <c r="E451" s="40" t="s">
        <v>288</v>
      </c>
      <c r="F451" s="40"/>
      <c r="G451" s="10">
        <f>G452</f>
        <v>3078.8</v>
      </c>
      <c r="H451" s="313">
        <f t="shared" si="257"/>
        <v>1962.7074</v>
      </c>
      <c r="I451" s="337">
        <f t="shared" si="231"/>
        <v>63.74910354683643</v>
      </c>
    </row>
    <row r="452" spans="1:9" s="210" customFormat="1" ht="15.75" x14ac:dyDescent="0.25">
      <c r="A452" s="25" t="s">
        <v>289</v>
      </c>
      <c r="B452" s="20" t="s">
        <v>1057</v>
      </c>
      <c r="C452" s="40" t="s">
        <v>279</v>
      </c>
      <c r="D452" s="40" t="s">
        <v>279</v>
      </c>
      <c r="E452" s="40" t="s">
        <v>290</v>
      </c>
      <c r="F452" s="40"/>
      <c r="G452" s="10">
        <f>'Пр.3 Рд,пр, ЦС,ВР 20'!F822</f>
        <v>3078.8</v>
      </c>
      <c r="H452" s="313">
        <f>'Пр.3 Рд,пр, ЦС,ВР 20'!G822</f>
        <v>1962.7074</v>
      </c>
      <c r="I452" s="337">
        <f t="shared" si="231"/>
        <v>63.74910354683643</v>
      </c>
    </row>
    <row r="453" spans="1:9" ht="31.5" x14ac:dyDescent="0.25">
      <c r="A453" s="29" t="s">
        <v>418</v>
      </c>
      <c r="B453" s="20" t="s">
        <v>1057</v>
      </c>
      <c r="C453" s="40" t="s">
        <v>279</v>
      </c>
      <c r="D453" s="40" t="s">
        <v>279</v>
      </c>
      <c r="E453" s="40" t="s">
        <v>290</v>
      </c>
      <c r="F453" s="40" t="s">
        <v>651</v>
      </c>
      <c r="G453" s="10">
        <f>G452</f>
        <v>3078.8</v>
      </c>
      <c r="H453" s="313">
        <f t="shared" ref="H453" si="258">H452</f>
        <v>1962.7074</v>
      </c>
      <c r="I453" s="337">
        <f t="shared" si="231"/>
        <v>63.74910354683643</v>
      </c>
    </row>
    <row r="454" spans="1:9" ht="47.25" x14ac:dyDescent="0.25">
      <c r="A454" s="58" t="s">
        <v>813</v>
      </c>
      <c r="B454" s="206" t="s">
        <v>171</v>
      </c>
      <c r="C454" s="7"/>
      <c r="D454" s="206"/>
      <c r="E454" s="206"/>
      <c r="F454" s="206"/>
      <c r="G454" s="59">
        <f>G456</f>
        <v>100</v>
      </c>
      <c r="H454" s="325">
        <f t="shared" ref="H454" si="259">H456</f>
        <v>100</v>
      </c>
      <c r="I454" s="4">
        <f t="shared" si="231"/>
        <v>100</v>
      </c>
    </row>
    <row r="455" spans="1:9" s="210" customFormat="1" ht="50.25" customHeight="1" x14ac:dyDescent="0.25">
      <c r="A455" s="23" t="s">
        <v>1241</v>
      </c>
      <c r="B455" s="24" t="s">
        <v>1238</v>
      </c>
      <c r="C455" s="7"/>
      <c r="D455" s="7"/>
      <c r="E455" s="7"/>
      <c r="F455" s="7"/>
      <c r="G455" s="59">
        <f>G456</f>
        <v>100</v>
      </c>
      <c r="H455" s="325">
        <f t="shared" ref="H455:H456" si="260">H456</f>
        <v>100</v>
      </c>
      <c r="I455" s="4">
        <f t="shared" si="231"/>
        <v>100</v>
      </c>
    </row>
    <row r="456" spans="1:9" ht="15.75" x14ac:dyDescent="0.25">
      <c r="A456" s="45" t="s">
        <v>247</v>
      </c>
      <c r="B456" s="5" t="s">
        <v>1238</v>
      </c>
      <c r="C456" s="40" t="s">
        <v>165</v>
      </c>
      <c r="D456" s="40"/>
      <c r="E456" s="40"/>
      <c r="F456" s="40"/>
      <c r="G456" s="10">
        <f>G457</f>
        <v>100</v>
      </c>
      <c r="H456" s="313">
        <f t="shared" si="260"/>
        <v>100</v>
      </c>
      <c r="I456" s="337">
        <f t="shared" si="231"/>
        <v>100</v>
      </c>
    </row>
    <row r="457" spans="1:9" ht="15.75" x14ac:dyDescent="0.25">
      <c r="A457" s="45" t="s">
        <v>796</v>
      </c>
      <c r="B457" s="5" t="s">
        <v>1238</v>
      </c>
      <c r="C457" s="40" t="s">
        <v>165</v>
      </c>
      <c r="D457" s="40" t="s">
        <v>253</v>
      </c>
      <c r="E457" s="40"/>
      <c r="F457" s="40"/>
      <c r="G457" s="10">
        <f>G458+G462</f>
        <v>100</v>
      </c>
      <c r="H457" s="313">
        <f t="shared" ref="H457" si="261">H458+H462</f>
        <v>100</v>
      </c>
      <c r="I457" s="337">
        <f t="shared" si="231"/>
        <v>100</v>
      </c>
    </row>
    <row r="458" spans="1:9" ht="31.5" x14ac:dyDescent="0.25">
      <c r="A458" s="25" t="s">
        <v>1242</v>
      </c>
      <c r="B458" s="20" t="s">
        <v>1239</v>
      </c>
      <c r="C458" s="40" t="s">
        <v>165</v>
      </c>
      <c r="D458" s="40" t="s">
        <v>253</v>
      </c>
      <c r="E458" s="40"/>
      <c r="F458" s="40"/>
      <c r="G458" s="10">
        <f>G459</f>
        <v>100</v>
      </c>
      <c r="H458" s="313">
        <f t="shared" ref="H458:H459" si="262">H459</f>
        <v>100</v>
      </c>
      <c r="I458" s="337">
        <f t="shared" si="231"/>
        <v>100</v>
      </c>
    </row>
    <row r="459" spans="1:9" ht="15.75" x14ac:dyDescent="0.25">
      <c r="A459" s="25" t="s">
        <v>150</v>
      </c>
      <c r="B459" s="20" t="s">
        <v>1239</v>
      </c>
      <c r="C459" s="40" t="s">
        <v>165</v>
      </c>
      <c r="D459" s="40" t="s">
        <v>253</v>
      </c>
      <c r="E459" s="40" t="s">
        <v>160</v>
      </c>
      <c r="F459" s="40"/>
      <c r="G459" s="10">
        <f>G460</f>
        <v>100</v>
      </c>
      <c r="H459" s="313">
        <f t="shared" si="262"/>
        <v>100</v>
      </c>
      <c r="I459" s="337">
        <f t="shared" si="231"/>
        <v>100</v>
      </c>
    </row>
    <row r="460" spans="1:9" ht="47.25" x14ac:dyDescent="0.25">
      <c r="A460" s="25" t="s">
        <v>199</v>
      </c>
      <c r="B460" s="20" t="s">
        <v>1239</v>
      </c>
      <c r="C460" s="40" t="s">
        <v>165</v>
      </c>
      <c r="D460" s="40" t="s">
        <v>253</v>
      </c>
      <c r="E460" s="40" t="s">
        <v>175</v>
      </c>
      <c r="F460" s="40"/>
      <c r="G460" s="10">
        <f>'Пр.3 Рд,пр, ЦС,ВР 20'!F347</f>
        <v>100</v>
      </c>
      <c r="H460" s="313">
        <f>'Пр.3 Рд,пр, ЦС,ВР 20'!G347</f>
        <v>100</v>
      </c>
      <c r="I460" s="337">
        <f t="shared" si="231"/>
        <v>100</v>
      </c>
    </row>
    <row r="461" spans="1:9" s="210" customFormat="1" ht="15.75" x14ac:dyDescent="0.25">
      <c r="A461" s="29" t="s">
        <v>163</v>
      </c>
      <c r="B461" s="20" t="s">
        <v>1239</v>
      </c>
      <c r="C461" s="40" t="s">
        <v>165</v>
      </c>
      <c r="D461" s="40" t="s">
        <v>253</v>
      </c>
      <c r="E461" s="40" t="s">
        <v>175</v>
      </c>
      <c r="F461" s="40" t="s">
        <v>656</v>
      </c>
      <c r="G461" s="10">
        <f>G460</f>
        <v>100</v>
      </c>
      <c r="H461" s="313">
        <f t="shared" ref="H461" si="263">H460</f>
        <v>100</v>
      </c>
      <c r="I461" s="337">
        <f t="shared" si="231"/>
        <v>100</v>
      </c>
    </row>
    <row r="462" spans="1:9" s="210" customFormat="1" ht="31.5" hidden="1" x14ac:dyDescent="0.25">
      <c r="A462" s="25" t="s">
        <v>254</v>
      </c>
      <c r="B462" s="20" t="s">
        <v>1240</v>
      </c>
      <c r="C462" s="40" t="s">
        <v>165</v>
      </c>
      <c r="D462" s="40" t="s">
        <v>253</v>
      </c>
      <c r="E462" s="40"/>
      <c r="F462" s="40"/>
      <c r="G462" s="10">
        <f>G463</f>
        <v>0</v>
      </c>
      <c r="H462" s="313">
        <f t="shared" ref="H462:H463" si="264">H463</f>
        <v>0</v>
      </c>
      <c r="I462" s="337" t="e">
        <f t="shared" si="231"/>
        <v>#DIV/0!</v>
      </c>
    </row>
    <row r="463" spans="1:9" s="210" customFormat="1" ht="15.75" hidden="1" x14ac:dyDescent="0.25">
      <c r="A463" s="25" t="s">
        <v>150</v>
      </c>
      <c r="B463" s="20" t="s">
        <v>1240</v>
      </c>
      <c r="C463" s="40" t="s">
        <v>165</v>
      </c>
      <c r="D463" s="40" t="s">
        <v>253</v>
      </c>
      <c r="E463" s="40" t="s">
        <v>160</v>
      </c>
      <c r="F463" s="40"/>
      <c r="G463" s="10">
        <f>G464</f>
        <v>0</v>
      </c>
      <c r="H463" s="313">
        <f t="shared" si="264"/>
        <v>0</v>
      </c>
      <c r="I463" s="337" t="e">
        <f t="shared" si="231"/>
        <v>#DIV/0!</v>
      </c>
    </row>
    <row r="464" spans="1:9" s="210" customFormat="1" ht="47.25" hidden="1" x14ac:dyDescent="0.25">
      <c r="A464" s="25" t="s">
        <v>199</v>
      </c>
      <c r="B464" s="20" t="s">
        <v>1240</v>
      </c>
      <c r="C464" s="40" t="s">
        <v>165</v>
      </c>
      <c r="D464" s="40" t="s">
        <v>253</v>
      </c>
      <c r="E464" s="40" t="s">
        <v>175</v>
      </c>
      <c r="F464" s="40"/>
      <c r="G464" s="10">
        <f>'Пр.3 Рд,пр, ЦС,ВР 20'!F350</f>
        <v>0</v>
      </c>
      <c r="H464" s="313">
        <f>'Пр.3 Рд,пр, ЦС,ВР 20'!G350</f>
        <v>0</v>
      </c>
      <c r="I464" s="337" t="e">
        <f t="shared" si="231"/>
        <v>#DIV/0!</v>
      </c>
    </row>
    <row r="465" spans="1:9" ht="15.75" hidden="1" x14ac:dyDescent="0.25">
      <c r="A465" s="29" t="s">
        <v>163</v>
      </c>
      <c r="B465" s="20" t="s">
        <v>1240</v>
      </c>
      <c r="C465" s="40" t="s">
        <v>165</v>
      </c>
      <c r="D465" s="40" t="s">
        <v>253</v>
      </c>
      <c r="E465" s="40" t="s">
        <v>175</v>
      </c>
      <c r="F465" s="40" t="s">
        <v>656</v>
      </c>
      <c r="G465" s="10">
        <f>G464</f>
        <v>0</v>
      </c>
      <c r="H465" s="313">
        <f t="shared" ref="H465" si="265">H464</f>
        <v>0</v>
      </c>
      <c r="I465" s="337" t="e">
        <f t="shared" ref="I465:I528" si="266">H465/G465*100</f>
        <v>#DIV/0!</v>
      </c>
    </row>
    <row r="466" spans="1:9" ht="45.75" customHeight="1" x14ac:dyDescent="0.25">
      <c r="A466" s="41" t="s">
        <v>817</v>
      </c>
      <c r="B466" s="206" t="s">
        <v>177</v>
      </c>
      <c r="C466" s="7"/>
      <c r="D466" s="7"/>
      <c r="E466" s="7"/>
      <c r="F466" s="7"/>
      <c r="G466" s="59">
        <f>G467+G474+G493</f>
        <v>593</v>
      </c>
      <c r="H466" s="325">
        <f t="shared" ref="H466" si="267">H467+H474+H493</f>
        <v>580.49354000000005</v>
      </c>
      <c r="I466" s="4">
        <f t="shared" si="266"/>
        <v>97.890984822934243</v>
      </c>
    </row>
    <row r="467" spans="1:9" s="210" customFormat="1" ht="67.7" customHeight="1" x14ac:dyDescent="0.25">
      <c r="A467" s="226" t="s">
        <v>1153</v>
      </c>
      <c r="B467" s="7" t="s">
        <v>893</v>
      </c>
      <c r="C467" s="7"/>
      <c r="D467" s="8"/>
      <c r="E467" s="206"/>
      <c r="F467" s="7"/>
      <c r="G467" s="59">
        <f>G469</f>
        <v>534</v>
      </c>
      <c r="H467" s="325">
        <f t="shared" ref="H467" si="268">H469</f>
        <v>523.28354000000002</v>
      </c>
      <c r="I467" s="4">
        <f t="shared" si="266"/>
        <v>97.993172284644203</v>
      </c>
    </row>
    <row r="468" spans="1:9" s="210" customFormat="1" ht="15.75" customHeight="1" x14ac:dyDescent="0.25">
      <c r="A468" s="45" t="s">
        <v>132</v>
      </c>
      <c r="B468" s="5" t="s">
        <v>893</v>
      </c>
      <c r="C468" s="40" t="s">
        <v>133</v>
      </c>
      <c r="D468" s="5"/>
      <c r="E468" s="5"/>
      <c r="F468" s="40"/>
      <c r="G468" s="10">
        <f t="shared" ref="G468:H469" si="269">G469</f>
        <v>534</v>
      </c>
      <c r="H468" s="313">
        <f t="shared" si="269"/>
        <v>523.28354000000002</v>
      </c>
      <c r="I468" s="337">
        <f t="shared" si="266"/>
        <v>97.993172284644203</v>
      </c>
    </row>
    <row r="469" spans="1:9" s="210" customFormat="1" ht="45.75" customHeight="1" x14ac:dyDescent="0.25">
      <c r="A469" s="29" t="s">
        <v>164</v>
      </c>
      <c r="B469" s="5" t="s">
        <v>893</v>
      </c>
      <c r="C469" s="40" t="s">
        <v>133</v>
      </c>
      <c r="D469" s="9" t="s">
        <v>165</v>
      </c>
      <c r="E469" s="5"/>
      <c r="F469" s="40"/>
      <c r="G469" s="10">
        <f>G470</f>
        <v>534</v>
      </c>
      <c r="H469" s="313">
        <f t="shared" si="269"/>
        <v>523.28354000000002</v>
      </c>
      <c r="I469" s="337">
        <f t="shared" si="266"/>
        <v>97.993172284644203</v>
      </c>
    </row>
    <row r="470" spans="1:9" s="210" customFormat="1" ht="36" customHeight="1" x14ac:dyDescent="0.25">
      <c r="A470" s="29" t="s">
        <v>178</v>
      </c>
      <c r="B470" s="40" t="s">
        <v>885</v>
      </c>
      <c r="C470" s="40" t="s">
        <v>133</v>
      </c>
      <c r="D470" s="9" t="s">
        <v>165</v>
      </c>
      <c r="E470" s="40"/>
      <c r="F470" s="40"/>
      <c r="G470" s="10">
        <f t="shared" ref="G470:H471" si="270">G471</f>
        <v>534</v>
      </c>
      <c r="H470" s="313">
        <f t="shared" si="270"/>
        <v>523.28354000000002</v>
      </c>
      <c r="I470" s="337">
        <f t="shared" si="266"/>
        <v>97.993172284644203</v>
      </c>
    </row>
    <row r="471" spans="1:9" s="210" customFormat="1" ht="34.5" customHeight="1" x14ac:dyDescent="0.25">
      <c r="A471" s="29" t="s">
        <v>146</v>
      </c>
      <c r="B471" s="40" t="s">
        <v>885</v>
      </c>
      <c r="C471" s="40" t="s">
        <v>133</v>
      </c>
      <c r="D471" s="9" t="s">
        <v>165</v>
      </c>
      <c r="E471" s="40" t="s">
        <v>147</v>
      </c>
      <c r="F471" s="40"/>
      <c r="G471" s="10">
        <f t="shared" si="270"/>
        <v>534</v>
      </c>
      <c r="H471" s="313">
        <f t="shared" si="270"/>
        <v>523.28354000000002</v>
      </c>
      <c r="I471" s="337">
        <f t="shared" si="266"/>
        <v>97.993172284644203</v>
      </c>
    </row>
    <row r="472" spans="1:9" s="210" customFormat="1" ht="36" customHeight="1" x14ac:dyDescent="0.25">
      <c r="A472" s="29" t="s">
        <v>148</v>
      </c>
      <c r="B472" s="40" t="s">
        <v>885</v>
      </c>
      <c r="C472" s="40" t="s">
        <v>133</v>
      </c>
      <c r="D472" s="9" t="s">
        <v>165</v>
      </c>
      <c r="E472" s="40" t="s">
        <v>149</v>
      </c>
      <c r="F472" s="40"/>
      <c r="G472" s="10">
        <f>'Пр.3 Рд,пр, ЦС,ВР 20'!F100</f>
        <v>534</v>
      </c>
      <c r="H472" s="313">
        <f>'Пр.3 Рд,пр, ЦС,ВР 20'!G100</f>
        <v>523.28354000000002</v>
      </c>
      <c r="I472" s="337">
        <f t="shared" si="266"/>
        <v>97.993172284644203</v>
      </c>
    </row>
    <row r="473" spans="1:9" s="210" customFormat="1" ht="20.25" customHeight="1" x14ac:dyDescent="0.25">
      <c r="A473" s="29" t="s">
        <v>163</v>
      </c>
      <c r="B473" s="40" t="s">
        <v>885</v>
      </c>
      <c r="C473" s="40" t="s">
        <v>133</v>
      </c>
      <c r="D473" s="9" t="s">
        <v>165</v>
      </c>
      <c r="E473" s="40" t="s">
        <v>149</v>
      </c>
      <c r="F473" s="40" t="s">
        <v>656</v>
      </c>
      <c r="G473" s="10">
        <f>G472</f>
        <v>534</v>
      </c>
      <c r="H473" s="313">
        <f t="shared" ref="H473" si="271">H472</f>
        <v>523.28354000000002</v>
      </c>
      <c r="I473" s="337">
        <f t="shared" si="266"/>
        <v>97.993172284644203</v>
      </c>
    </row>
    <row r="474" spans="1:9" s="210" customFormat="1" ht="63" customHeight="1" x14ac:dyDescent="0.25">
      <c r="A474" s="225" t="s">
        <v>887</v>
      </c>
      <c r="B474" s="7" t="s">
        <v>894</v>
      </c>
      <c r="C474" s="7"/>
      <c r="D474" s="8"/>
      <c r="E474" s="206"/>
      <c r="F474" s="7"/>
      <c r="G474" s="59">
        <f>G475</f>
        <v>58.5</v>
      </c>
      <c r="H474" s="325">
        <f t="shared" ref="H474" si="272">H475</f>
        <v>57.21</v>
      </c>
      <c r="I474" s="4">
        <f t="shared" si="266"/>
        <v>97.794871794871796</v>
      </c>
    </row>
    <row r="475" spans="1:9" ht="15.75" x14ac:dyDescent="0.25">
      <c r="A475" s="45" t="s">
        <v>132</v>
      </c>
      <c r="B475" s="5" t="s">
        <v>894</v>
      </c>
      <c r="C475" s="40" t="s">
        <v>133</v>
      </c>
      <c r="D475" s="5"/>
      <c r="E475" s="5"/>
      <c r="F475" s="40"/>
      <c r="G475" s="10">
        <f>G476+G485</f>
        <v>58.5</v>
      </c>
      <c r="H475" s="313">
        <f t="shared" ref="H475" si="273">H476+H485</f>
        <v>57.21</v>
      </c>
      <c r="I475" s="337">
        <f t="shared" si="266"/>
        <v>97.794871794871796</v>
      </c>
    </row>
    <row r="476" spans="1:9" ht="47.25" x14ac:dyDescent="0.25">
      <c r="A476" s="29" t="s">
        <v>590</v>
      </c>
      <c r="B476" s="5" t="s">
        <v>894</v>
      </c>
      <c r="C476" s="40" t="s">
        <v>133</v>
      </c>
      <c r="D476" s="9" t="s">
        <v>228</v>
      </c>
      <c r="E476" s="5"/>
      <c r="F476" s="40"/>
      <c r="G476" s="10">
        <f>G477+G481</f>
        <v>15</v>
      </c>
      <c r="H476" s="313">
        <f t="shared" ref="H476" si="274">H477+H481</f>
        <v>15</v>
      </c>
      <c r="I476" s="337">
        <f t="shared" si="266"/>
        <v>100</v>
      </c>
    </row>
    <row r="477" spans="1:9" s="210" customFormat="1" ht="47.25" x14ac:dyDescent="0.25">
      <c r="A477" s="31" t="s">
        <v>710</v>
      </c>
      <c r="B477" s="40" t="s">
        <v>1140</v>
      </c>
      <c r="C477" s="40" t="s">
        <v>133</v>
      </c>
      <c r="D477" s="9" t="s">
        <v>228</v>
      </c>
      <c r="E477" s="5"/>
      <c r="F477" s="40"/>
      <c r="G477" s="10">
        <f>G478</f>
        <v>1</v>
      </c>
      <c r="H477" s="313">
        <f t="shared" ref="H477:H478" si="275">H478</f>
        <v>1</v>
      </c>
      <c r="I477" s="337">
        <f t="shared" si="266"/>
        <v>100</v>
      </c>
    </row>
    <row r="478" spans="1:9" s="210" customFormat="1" ht="31.5" x14ac:dyDescent="0.25">
      <c r="A478" s="25" t="s">
        <v>146</v>
      </c>
      <c r="B478" s="40" t="s">
        <v>1140</v>
      </c>
      <c r="C478" s="40" t="s">
        <v>133</v>
      </c>
      <c r="D478" s="9" t="s">
        <v>228</v>
      </c>
      <c r="E478" s="5">
        <v>200</v>
      </c>
      <c r="F478" s="40"/>
      <c r="G478" s="10">
        <f>G479</f>
        <v>1</v>
      </c>
      <c r="H478" s="313">
        <f t="shared" si="275"/>
        <v>1</v>
      </c>
      <c r="I478" s="337">
        <f t="shared" si="266"/>
        <v>100</v>
      </c>
    </row>
    <row r="479" spans="1:9" s="210" customFormat="1" ht="31.5" x14ac:dyDescent="0.25">
      <c r="A479" s="25" t="s">
        <v>148</v>
      </c>
      <c r="B479" s="40" t="s">
        <v>711</v>
      </c>
      <c r="C479" s="40" t="s">
        <v>133</v>
      </c>
      <c r="D479" s="9" t="s">
        <v>228</v>
      </c>
      <c r="E479" s="5">
        <v>240</v>
      </c>
      <c r="F479" s="40"/>
      <c r="G479" s="10">
        <f>'Пр.3 Рд,пр, ЦС,ВР 20'!F27</f>
        <v>1</v>
      </c>
      <c r="H479" s="313">
        <f>'Пр.3 Рд,пр, ЦС,ВР 20'!G27</f>
        <v>1</v>
      </c>
      <c r="I479" s="337">
        <f t="shared" si="266"/>
        <v>100</v>
      </c>
    </row>
    <row r="480" spans="1:9" s="210" customFormat="1" ht="31.5" x14ac:dyDescent="0.25">
      <c r="A480" s="45" t="s">
        <v>589</v>
      </c>
      <c r="B480" s="40" t="s">
        <v>711</v>
      </c>
      <c r="C480" s="40" t="s">
        <v>133</v>
      </c>
      <c r="D480" s="9" t="s">
        <v>228</v>
      </c>
      <c r="E480" s="5">
        <v>240</v>
      </c>
      <c r="F480" s="40" t="s">
        <v>812</v>
      </c>
      <c r="G480" s="10">
        <f>G479</f>
        <v>1</v>
      </c>
      <c r="H480" s="313">
        <f t="shared" ref="H480" si="276">H479</f>
        <v>1</v>
      </c>
      <c r="I480" s="337">
        <f t="shared" si="266"/>
        <v>100</v>
      </c>
    </row>
    <row r="481" spans="1:9" s="210" customFormat="1" ht="47.25" x14ac:dyDescent="0.25">
      <c r="A481" s="31" t="s">
        <v>710</v>
      </c>
      <c r="B481" s="20" t="s">
        <v>1139</v>
      </c>
      <c r="C481" s="40" t="s">
        <v>133</v>
      </c>
      <c r="D481" s="9" t="s">
        <v>228</v>
      </c>
      <c r="E481" s="5"/>
      <c r="F481" s="40"/>
      <c r="G481" s="10">
        <f>G482</f>
        <v>14</v>
      </c>
      <c r="H481" s="313">
        <f t="shared" ref="H481:H482" si="277">H482</f>
        <v>14</v>
      </c>
      <c r="I481" s="337">
        <f t="shared" si="266"/>
        <v>100</v>
      </c>
    </row>
    <row r="482" spans="1:9" s="210" customFormat="1" ht="31.5" x14ac:dyDescent="0.25">
      <c r="A482" s="25" t="s">
        <v>146</v>
      </c>
      <c r="B482" s="20" t="s">
        <v>1139</v>
      </c>
      <c r="C482" s="40" t="s">
        <v>133</v>
      </c>
      <c r="D482" s="9" t="s">
        <v>228</v>
      </c>
      <c r="E482" s="5">
        <v>200</v>
      </c>
      <c r="F482" s="40"/>
      <c r="G482" s="10">
        <f>G483</f>
        <v>14</v>
      </c>
      <c r="H482" s="313">
        <f t="shared" si="277"/>
        <v>14</v>
      </c>
      <c r="I482" s="337">
        <f t="shared" si="266"/>
        <v>100</v>
      </c>
    </row>
    <row r="483" spans="1:9" s="210" customFormat="1" ht="31.5" x14ac:dyDescent="0.25">
      <c r="A483" s="25" t="s">
        <v>148</v>
      </c>
      <c r="B483" s="20" t="s">
        <v>1139</v>
      </c>
      <c r="C483" s="40" t="s">
        <v>133</v>
      </c>
      <c r="D483" s="9" t="s">
        <v>228</v>
      </c>
      <c r="E483" s="5">
        <v>240</v>
      </c>
      <c r="F483" s="40"/>
      <c r="G483" s="10">
        <f>'Пр.3 Рд,пр, ЦС,ВР 20'!F30</f>
        <v>14</v>
      </c>
      <c r="H483" s="313">
        <f>'Пр.3 Рд,пр, ЦС,ВР 20'!G30</f>
        <v>14</v>
      </c>
      <c r="I483" s="337">
        <f t="shared" si="266"/>
        <v>100</v>
      </c>
    </row>
    <row r="484" spans="1:9" s="210" customFormat="1" ht="31.5" x14ac:dyDescent="0.25">
      <c r="A484" s="45" t="s">
        <v>589</v>
      </c>
      <c r="B484" s="20" t="s">
        <v>1139</v>
      </c>
      <c r="C484" s="40" t="s">
        <v>133</v>
      </c>
      <c r="D484" s="9" t="s">
        <v>228</v>
      </c>
      <c r="E484" s="5">
        <v>240</v>
      </c>
      <c r="F484" s="40" t="s">
        <v>812</v>
      </c>
      <c r="G484" s="10">
        <f>G483</f>
        <v>14</v>
      </c>
      <c r="H484" s="313">
        <f t="shared" ref="H484" si="278">H483</f>
        <v>14</v>
      </c>
      <c r="I484" s="337">
        <f t="shared" si="266"/>
        <v>100</v>
      </c>
    </row>
    <row r="485" spans="1:9" s="210" customFormat="1" ht="63" x14ac:dyDescent="0.25">
      <c r="A485" s="29" t="s">
        <v>164</v>
      </c>
      <c r="B485" s="5" t="s">
        <v>894</v>
      </c>
      <c r="C485" s="40" t="s">
        <v>133</v>
      </c>
      <c r="D485" s="9" t="s">
        <v>165</v>
      </c>
      <c r="E485" s="5"/>
      <c r="F485" s="40"/>
      <c r="G485" s="10">
        <f>G486</f>
        <v>43.5</v>
      </c>
      <c r="H485" s="313">
        <f t="shared" ref="H485" si="279">H486</f>
        <v>42.21</v>
      </c>
      <c r="I485" s="337">
        <f t="shared" si="266"/>
        <v>97.034482758620683</v>
      </c>
    </row>
    <row r="486" spans="1:9" ht="47.25" x14ac:dyDescent="0.25">
      <c r="A486" s="178" t="s">
        <v>180</v>
      </c>
      <c r="B486" s="40" t="s">
        <v>886</v>
      </c>
      <c r="C486" s="40" t="s">
        <v>133</v>
      </c>
      <c r="D486" s="9" t="s">
        <v>165</v>
      </c>
      <c r="E486" s="40"/>
      <c r="F486" s="40"/>
      <c r="G486" s="10">
        <f>G487+G490</f>
        <v>43.5</v>
      </c>
      <c r="H486" s="313">
        <f t="shared" ref="H486" si="280">H487+H490</f>
        <v>42.21</v>
      </c>
      <c r="I486" s="337">
        <f t="shared" si="266"/>
        <v>97.034482758620683</v>
      </c>
    </row>
    <row r="487" spans="1:9" ht="78.75" x14ac:dyDescent="0.25">
      <c r="A487" s="25" t="s">
        <v>142</v>
      </c>
      <c r="B487" s="40" t="s">
        <v>886</v>
      </c>
      <c r="C487" s="40" t="s">
        <v>133</v>
      </c>
      <c r="D487" s="9" t="s">
        <v>165</v>
      </c>
      <c r="E487" s="40" t="s">
        <v>143</v>
      </c>
      <c r="F487" s="40"/>
      <c r="G487" s="10">
        <f t="shared" ref="G487:H487" si="281">G488</f>
        <v>25</v>
      </c>
      <c r="H487" s="313">
        <f t="shared" si="281"/>
        <v>23.96</v>
      </c>
      <c r="I487" s="337">
        <f t="shared" si="266"/>
        <v>95.84</v>
      </c>
    </row>
    <row r="488" spans="1:9" ht="31.5" x14ac:dyDescent="0.25">
      <c r="A488" s="25" t="s">
        <v>144</v>
      </c>
      <c r="B488" s="40" t="s">
        <v>886</v>
      </c>
      <c r="C488" s="40" t="s">
        <v>133</v>
      </c>
      <c r="D488" s="9" t="s">
        <v>165</v>
      </c>
      <c r="E488" s="40" t="s">
        <v>145</v>
      </c>
      <c r="F488" s="40"/>
      <c r="G488" s="10">
        <f>'Пр.3 Рд,пр, ЦС,ВР 20'!F104</f>
        <v>25</v>
      </c>
      <c r="H488" s="313">
        <f>'Пр.3 Рд,пр, ЦС,ВР 20'!G104</f>
        <v>23.96</v>
      </c>
      <c r="I488" s="337">
        <f t="shared" si="266"/>
        <v>95.84</v>
      </c>
    </row>
    <row r="489" spans="1:9" s="210" customFormat="1" ht="15.75" x14ac:dyDescent="0.25">
      <c r="A489" s="29" t="s">
        <v>163</v>
      </c>
      <c r="B489" s="40" t="s">
        <v>886</v>
      </c>
      <c r="C489" s="40" t="s">
        <v>133</v>
      </c>
      <c r="D489" s="9" t="s">
        <v>165</v>
      </c>
      <c r="E489" s="40" t="s">
        <v>145</v>
      </c>
      <c r="F489" s="40" t="s">
        <v>656</v>
      </c>
      <c r="G489" s="10">
        <f>G488</f>
        <v>25</v>
      </c>
      <c r="H489" s="313">
        <f t="shared" ref="H489" si="282">H488</f>
        <v>23.96</v>
      </c>
      <c r="I489" s="337">
        <f t="shared" si="266"/>
        <v>95.84</v>
      </c>
    </row>
    <row r="490" spans="1:9" ht="31.5" x14ac:dyDescent="0.25">
      <c r="A490" s="25" t="s">
        <v>146</v>
      </c>
      <c r="B490" s="40" t="s">
        <v>886</v>
      </c>
      <c r="C490" s="40" t="s">
        <v>133</v>
      </c>
      <c r="D490" s="9" t="s">
        <v>165</v>
      </c>
      <c r="E490" s="40" t="s">
        <v>147</v>
      </c>
      <c r="F490" s="40"/>
      <c r="G490" s="10">
        <f t="shared" ref="G490:H490" si="283">G491</f>
        <v>18.5</v>
      </c>
      <c r="H490" s="313">
        <f t="shared" si="283"/>
        <v>18.25</v>
      </c>
      <c r="I490" s="337">
        <f t="shared" si="266"/>
        <v>98.648648648648646</v>
      </c>
    </row>
    <row r="491" spans="1:9" ht="31.5" x14ac:dyDescent="0.25">
      <c r="A491" s="25" t="s">
        <v>148</v>
      </c>
      <c r="B491" s="40" t="s">
        <v>886</v>
      </c>
      <c r="C491" s="40" t="s">
        <v>133</v>
      </c>
      <c r="D491" s="9" t="s">
        <v>165</v>
      </c>
      <c r="E491" s="40" t="s">
        <v>149</v>
      </c>
      <c r="F491" s="40"/>
      <c r="G491" s="10">
        <f>'Пр.3 Рд,пр, ЦС,ВР 20'!F106</f>
        <v>18.5</v>
      </c>
      <c r="H491" s="313">
        <f>'Пр.3 Рд,пр, ЦС,ВР 20'!G106</f>
        <v>18.25</v>
      </c>
      <c r="I491" s="337">
        <f t="shared" si="266"/>
        <v>98.648648648648646</v>
      </c>
    </row>
    <row r="492" spans="1:9" s="210" customFormat="1" ht="19.5" customHeight="1" x14ac:dyDescent="0.25">
      <c r="A492" s="29" t="s">
        <v>163</v>
      </c>
      <c r="B492" s="40" t="s">
        <v>886</v>
      </c>
      <c r="C492" s="40" t="s">
        <v>133</v>
      </c>
      <c r="D492" s="9" t="s">
        <v>165</v>
      </c>
      <c r="E492" s="40" t="s">
        <v>149</v>
      </c>
      <c r="F492" s="40" t="s">
        <v>656</v>
      </c>
      <c r="G492" s="10">
        <f>G491</f>
        <v>18.5</v>
      </c>
      <c r="H492" s="313">
        <f t="shared" ref="H492" si="284">H491</f>
        <v>18.25</v>
      </c>
      <c r="I492" s="337">
        <f t="shared" si="266"/>
        <v>98.648648648648646</v>
      </c>
    </row>
    <row r="493" spans="1:9" s="210" customFormat="1" ht="63" x14ac:dyDescent="0.25">
      <c r="A493" s="227" t="s">
        <v>1154</v>
      </c>
      <c r="B493" s="7" t="s">
        <v>895</v>
      </c>
      <c r="C493" s="7"/>
      <c r="D493" s="8"/>
      <c r="E493" s="7"/>
      <c r="F493" s="7"/>
      <c r="G493" s="59">
        <f>G494</f>
        <v>0.5</v>
      </c>
      <c r="H493" s="325">
        <f t="shared" ref="H493:H497" si="285">H494</f>
        <v>0</v>
      </c>
      <c r="I493" s="4">
        <f t="shared" si="266"/>
        <v>0</v>
      </c>
    </row>
    <row r="494" spans="1:9" s="210" customFormat="1" ht="15.75" x14ac:dyDescent="0.25">
      <c r="A494" s="45" t="s">
        <v>132</v>
      </c>
      <c r="B494" s="40" t="s">
        <v>895</v>
      </c>
      <c r="C494" s="40" t="s">
        <v>133</v>
      </c>
      <c r="D494" s="9"/>
      <c r="E494" s="7"/>
      <c r="F494" s="7"/>
      <c r="G494" s="10">
        <f>G495</f>
        <v>0.5</v>
      </c>
      <c r="H494" s="313">
        <f t="shared" si="285"/>
        <v>0</v>
      </c>
      <c r="I494" s="337">
        <f t="shared" si="266"/>
        <v>0</v>
      </c>
    </row>
    <row r="495" spans="1:9" s="210" customFormat="1" ht="63" x14ac:dyDescent="0.25">
      <c r="A495" s="29" t="s">
        <v>164</v>
      </c>
      <c r="B495" s="40" t="s">
        <v>895</v>
      </c>
      <c r="C495" s="40" t="s">
        <v>133</v>
      </c>
      <c r="D495" s="9" t="s">
        <v>165</v>
      </c>
      <c r="E495" s="7"/>
      <c r="F495" s="7"/>
      <c r="G495" s="10">
        <f>G496</f>
        <v>0.5</v>
      </c>
      <c r="H495" s="313">
        <f t="shared" si="285"/>
        <v>0</v>
      </c>
      <c r="I495" s="337">
        <f t="shared" si="266"/>
        <v>0</v>
      </c>
    </row>
    <row r="496" spans="1:9" s="210" customFormat="1" ht="47.25" x14ac:dyDescent="0.25">
      <c r="A496" s="33" t="s">
        <v>206</v>
      </c>
      <c r="B496" s="40" t="s">
        <v>888</v>
      </c>
      <c r="C496" s="40" t="s">
        <v>133</v>
      </c>
      <c r="D496" s="9" t="s">
        <v>165</v>
      </c>
      <c r="E496" s="40"/>
      <c r="F496" s="40"/>
      <c r="G496" s="10">
        <f>G497</f>
        <v>0.5</v>
      </c>
      <c r="H496" s="313">
        <f t="shared" si="285"/>
        <v>0</v>
      </c>
      <c r="I496" s="337">
        <f t="shared" si="266"/>
        <v>0</v>
      </c>
    </row>
    <row r="497" spans="1:9" s="210" customFormat="1" ht="31.5" x14ac:dyDescent="0.25">
      <c r="A497" s="25" t="s">
        <v>146</v>
      </c>
      <c r="B497" s="40" t="s">
        <v>888</v>
      </c>
      <c r="C497" s="40" t="s">
        <v>133</v>
      </c>
      <c r="D497" s="9" t="s">
        <v>165</v>
      </c>
      <c r="E497" s="40" t="s">
        <v>147</v>
      </c>
      <c r="F497" s="40"/>
      <c r="G497" s="10">
        <f>G498</f>
        <v>0.5</v>
      </c>
      <c r="H497" s="313">
        <f t="shared" si="285"/>
        <v>0</v>
      </c>
      <c r="I497" s="337">
        <f t="shared" si="266"/>
        <v>0</v>
      </c>
    </row>
    <row r="498" spans="1:9" s="210" customFormat="1" ht="31.5" x14ac:dyDescent="0.25">
      <c r="A498" s="25" t="s">
        <v>148</v>
      </c>
      <c r="B498" s="40" t="s">
        <v>888</v>
      </c>
      <c r="C498" s="40" t="s">
        <v>133</v>
      </c>
      <c r="D498" s="9" t="s">
        <v>165</v>
      </c>
      <c r="E498" s="40" t="s">
        <v>149</v>
      </c>
      <c r="F498" s="40"/>
      <c r="G498" s="10">
        <f>'Пр.3 Рд,пр, ЦС,ВР 20'!F110</f>
        <v>0.5</v>
      </c>
      <c r="H498" s="313">
        <f>'Пр.3 Рд,пр, ЦС,ВР 20'!G110</f>
        <v>0</v>
      </c>
      <c r="I498" s="337">
        <f t="shared" si="266"/>
        <v>0</v>
      </c>
    </row>
    <row r="499" spans="1:9" s="210" customFormat="1" ht="15.75" x14ac:dyDescent="0.25">
      <c r="A499" s="29" t="s">
        <v>163</v>
      </c>
      <c r="B499" s="40" t="s">
        <v>888</v>
      </c>
      <c r="C499" s="40" t="s">
        <v>133</v>
      </c>
      <c r="D499" s="9" t="s">
        <v>165</v>
      </c>
      <c r="E499" s="40" t="s">
        <v>149</v>
      </c>
      <c r="F499" s="40" t="s">
        <v>656</v>
      </c>
      <c r="G499" s="10">
        <f>G498</f>
        <v>0.5</v>
      </c>
      <c r="H499" s="313">
        <f t="shared" ref="H499" si="286">H498</f>
        <v>0</v>
      </c>
      <c r="I499" s="337">
        <f t="shared" si="266"/>
        <v>0</v>
      </c>
    </row>
    <row r="500" spans="1:9" s="210" customFormat="1" ht="47.25" hidden="1" x14ac:dyDescent="0.25">
      <c r="A500" s="33" t="s">
        <v>206</v>
      </c>
      <c r="B500" s="20" t="s">
        <v>889</v>
      </c>
      <c r="C500" s="40" t="s">
        <v>133</v>
      </c>
      <c r="D500" s="9" t="s">
        <v>165</v>
      </c>
      <c r="E500" s="40"/>
      <c r="F500" s="40"/>
      <c r="G500" s="10">
        <f>G501</f>
        <v>0</v>
      </c>
      <c r="H500" s="313">
        <f t="shared" ref="H500:H501" si="287">H501</f>
        <v>0</v>
      </c>
      <c r="I500" s="337" t="e">
        <f t="shared" si="266"/>
        <v>#DIV/0!</v>
      </c>
    </row>
    <row r="501" spans="1:9" s="210" customFormat="1" ht="31.5" hidden="1" x14ac:dyDescent="0.25">
      <c r="A501" s="25" t="s">
        <v>146</v>
      </c>
      <c r="B501" s="20" t="s">
        <v>889</v>
      </c>
      <c r="C501" s="40" t="s">
        <v>133</v>
      </c>
      <c r="D501" s="9" t="s">
        <v>165</v>
      </c>
      <c r="E501" s="40" t="s">
        <v>147</v>
      </c>
      <c r="F501" s="40"/>
      <c r="G501" s="10">
        <f>G502</f>
        <v>0</v>
      </c>
      <c r="H501" s="313">
        <f t="shared" si="287"/>
        <v>0</v>
      </c>
      <c r="I501" s="337" t="e">
        <f t="shared" si="266"/>
        <v>#DIV/0!</v>
      </c>
    </row>
    <row r="502" spans="1:9" s="210" customFormat="1" ht="31.5" hidden="1" x14ac:dyDescent="0.25">
      <c r="A502" s="25" t="s">
        <v>148</v>
      </c>
      <c r="B502" s="20" t="s">
        <v>889</v>
      </c>
      <c r="C502" s="40" t="s">
        <v>133</v>
      </c>
      <c r="D502" s="9" t="s">
        <v>165</v>
      </c>
      <c r="E502" s="40" t="s">
        <v>149</v>
      </c>
      <c r="F502" s="40"/>
      <c r="G502" s="10">
        <f>'Пр.3 Рд,пр, ЦС,ВР 20'!F113</f>
        <v>0</v>
      </c>
      <c r="H502" s="313">
        <f>'Пр.3 Рд,пр, ЦС,ВР 20'!G113</f>
        <v>0</v>
      </c>
      <c r="I502" s="337" t="e">
        <f t="shared" si="266"/>
        <v>#DIV/0!</v>
      </c>
    </row>
    <row r="503" spans="1:9" ht="15.75" hidden="1" x14ac:dyDescent="0.25">
      <c r="A503" s="29" t="s">
        <v>163</v>
      </c>
      <c r="B503" s="20" t="s">
        <v>889</v>
      </c>
      <c r="C503" s="40" t="s">
        <v>133</v>
      </c>
      <c r="D503" s="9" t="s">
        <v>165</v>
      </c>
      <c r="E503" s="40" t="s">
        <v>149</v>
      </c>
      <c r="F503" s="40" t="s">
        <v>656</v>
      </c>
      <c r="G503" s="10">
        <f>G502</f>
        <v>0</v>
      </c>
      <c r="H503" s="313">
        <f t="shared" ref="H503" si="288">H502</f>
        <v>0</v>
      </c>
      <c r="I503" s="337" t="e">
        <f t="shared" si="266"/>
        <v>#DIV/0!</v>
      </c>
    </row>
    <row r="504" spans="1:9" ht="70.5" hidden="1" customHeight="1" x14ac:dyDescent="0.25">
      <c r="A504" s="41" t="s">
        <v>268</v>
      </c>
      <c r="B504" s="206" t="s">
        <v>269</v>
      </c>
      <c r="C504" s="40"/>
      <c r="D504" s="40"/>
      <c r="E504" s="40"/>
      <c r="F504" s="40"/>
      <c r="G504" s="59">
        <f t="shared" ref="G504:H504" si="289">G506</f>
        <v>0</v>
      </c>
      <c r="H504" s="325">
        <f t="shared" si="289"/>
        <v>0</v>
      </c>
      <c r="I504" s="337" t="e">
        <f t="shared" si="266"/>
        <v>#DIV/0!</v>
      </c>
    </row>
    <row r="505" spans="1:9" s="210" customFormat="1" ht="54" hidden="1" customHeight="1" x14ac:dyDescent="0.25">
      <c r="A505" s="23" t="s">
        <v>929</v>
      </c>
      <c r="B505" s="24" t="s">
        <v>927</v>
      </c>
      <c r="C505" s="40"/>
      <c r="D505" s="40"/>
      <c r="E505" s="40"/>
      <c r="F505" s="40"/>
      <c r="G505" s="59">
        <f>G506</f>
        <v>0</v>
      </c>
      <c r="H505" s="325">
        <f t="shared" ref="H505:H507" si="290">H506</f>
        <v>0</v>
      </c>
      <c r="I505" s="337" t="e">
        <f t="shared" si="266"/>
        <v>#DIV/0!</v>
      </c>
    </row>
    <row r="506" spans="1:9" ht="15.75" hidden="1" x14ac:dyDescent="0.25">
      <c r="A506" s="29" t="s">
        <v>258</v>
      </c>
      <c r="B506" s="5" t="s">
        <v>927</v>
      </c>
      <c r="C506" s="40" t="s">
        <v>259</v>
      </c>
      <c r="D506" s="40"/>
      <c r="E506" s="40"/>
      <c r="F506" s="40"/>
      <c r="G506" s="10">
        <f>G507</f>
        <v>0</v>
      </c>
      <c r="H506" s="313">
        <f t="shared" si="290"/>
        <v>0</v>
      </c>
      <c r="I506" s="337" t="e">
        <f t="shared" si="266"/>
        <v>#DIV/0!</v>
      </c>
    </row>
    <row r="507" spans="1:9" ht="22.7" hidden="1" customHeight="1" x14ac:dyDescent="0.25">
      <c r="A507" s="29" t="s">
        <v>267</v>
      </c>
      <c r="B507" s="5" t="s">
        <v>927</v>
      </c>
      <c r="C507" s="40" t="s">
        <v>259</v>
      </c>
      <c r="D507" s="40" t="s">
        <v>230</v>
      </c>
      <c r="E507" s="40"/>
      <c r="F507" s="40"/>
      <c r="G507" s="10">
        <f>G508</f>
        <v>0</v>
      </c>
      <c r="H507" s="313">
        <f t="shared" si="290"/>
        <v>0</v>
      </c>
      <c r="I507" s="337" t="e">
        <f t="shared" si="266"/>
        <v>#DIV/0!</v>
      </c>
    </row>
    <row r="508" spans="1:9" ht="31.5" hidden="1" x14ac:dyDescent="0.25">
      <c r="A508" s="25" t="s">
        <v>928</v>
      </c>
      <c r="B508" s="20" t="s">
        <v>1460</v>
      </c>
      <c r="C508" s="40" t="s">
        <v>259</v>
      </c>
      <c r="D508" s="40" t="s">
        <v>230</v>
      </c>
      <c r="E508" s="40"/>
      <c r="F508" s="40"/>
      <c r="G508" s="10">
        <f t="shared" ref="G508:H509" si="291">G509</f>
        <v>0</v>
      </c>
      <c r="H508" s="313">
        <f t="shared" si="291"/>
        <v>0</v>
      </c>
      <c r="I508" s="337" t="e">
        <f t="shared" si="266"/>
        <v>#DIV/0!</v>
      </c>
    </row>
    <row r="509" spans="1:9" ht="21.75" hidden="1" customHeight="1" x14ac:dyDescent="0.25">
      <c r="A509" s="25" t="s">
        <v>263</v>
      </c>
      <c r="B509" s="20" t="s">
        <v>1460</v>
      </c>
      <c r="C509" s="40" t="s">
        <v>259</v>
      </c>
      <c r="D509" s="40" t="s">
        <v>230</v>
      </c>
      <c r="E509" s="40" t="s">
        <v>264</v>
      </c>
      <c r="F509" s="40"/>
      <c r="G509" s="10">
        <f t="shared" si="291"/>
        <v>0</v>
      </c>
      <c r="H509" s="313">
        <f t="shared" si="291"/>
        <v>0</v>
      </c>
      <c r="I509" s="337" t="e">
        <f t="shared" si="266"/>
        <v>#DIV/0!</v>
      </c>
    </row>
    <row r="510" spans="1:9" ht="31.7" hidden="1" customHeight="1" x14ac:dyDescent="0.25">
      <c r="A510" s="25" t="s">
        <v>265</v>
      </c>
      <c r="B510" s="20" t="s">
        <v>1460</v>
      </c>
      <c r="C510" s="40" t="s">
        <v>259</v>
      </c>
      <c r="D510" s="40" t="s">
        <v>230</v>
      </c>
      <c r="E510" s="40" t="s">
        <v>266</v>
      </c>
      <c r="F510" s="40"/>
      <c r="G510" s="10">
        <f>'Пр.4 ведом.20'!G219</f>
        <v>0</v>
      </c>
      <c r="H510" s="313">
        <f>'Пр.4 ведом.20'!H219</f>
        <v>0</v>
      </c>
      <c r="I510" s="337" t="e">
        <f t="shared" si="266"/>
        <v>#DIV/0!</v>
      </c>
    </row>
    <row r="511" spans="1:9" ht="15.75" hidden="1" x14ac:dyDescent="0.25">
      <c r="A511" s="45" t="s">
        <v>163</v>
      </c>
      <c r="B511" s="20" t="s">
        <v>1460</v>
      </c>
      <c r="C511" s="40" t="s">
        <v>259</v>
      </c>
      <c r="D511" s="40" t="s">
        <v>230</v>
      </c>
      <c r="E511" s="40" t="s">
        <v>266</v>
      </c>
      <c r="F511" s="40" t="s">
        <v>656</v>
      </c>
      <c r="G511" s="10">
        <f>G510</f>
        <v>0</v>
      </c>
      <c r="H511" s="313">
        <f t="shared" ref="H511" si="292">H510</f>
        <v>0</v>
      </c>
      <c r="I511" s="337" t="e">
        <f t="shared" si="266"/>
        <v>#DIV/0!</v>
      </c>
    </row>
    <row r="512" spans="1:9" ht="53.45" customHeight="1" x14ac:dyDescent="0.25">
      <c r="A512" s="41" t="s">
        <v>496</v>
      </c>
      <c r="B512" s="3" t="s">
        <v>497</v>
      </c>
      <c r="C512" s="68"/>
      <c r="D512" s="68"/>
      <c r="E512" s="68"/>
      <c r="F512" s="68"/>
      <c r="G512" s="4">
        <f>G513+G580</f>
        <v>54849.330399999992</v>
      </c>
      <c r="H512" s="4">
        <f t="shared" ref="H512" si="293">H513+H580</f>
        <v>54667.397499999999</v>
      </c>
      <c r="I512" s="4">
        <f t="shared" si="266"/>
        <v>99.668304246062419</v>
      </c>
    </row>
    <row r="513" spans="1:9" ht="47.25" x14ac:dyDescent="0.25">
      <c r="A513" s="58" t="s">
        <v>508</v>
      </c>
      <c r="B513" s="7" t="s">
        <v>509</v>
      </c>
      <c r="C513" s="7"/>
      <c r="D513" s="7"/>
      <c r="E513" s="7"/>
      <c r="F513" s="3"/>
      <c r="G513" s="59">
        <f>G514+G529+G544+G555+G562+G569</f>
        <v>53494.700399999994</v>
      </c>
      <c r="H513" s="325">
        <f t="shared" ref="H513" si="294">H514+H529+H544+H555+H562+H569</f>
        <v>53312.767500000002</v>
      </c>
      <c r="I513" s="4">
        <f t="shared" si="266"/>
        <v>99.6599048155432</v>
      </c>
    </row>
    <row r="514" spans="1:9" s="210" customFormat="1" ht="31.5" x14ac:dyDescent="0.25">
      <c r="A514" s="23" t="s">
        <v>1026</v>
      </c>
      <c r="B514" s="24" t="s">
        <v>1059</v>
      </c>
      <c r="C514" s="7"/>
      <c r="D514" s="7"/>
      <c r="E514" s="229"/>
      <c r="F514" s="206"/>
      <c r="G514" s="59">
        <f>G515</f>
        <v>45686.369999999995</v>
      </c>
      <c r="H514" s="325">
        <f t="shared" ref="H514" si="295">H515</f>
        <v>45647.287510000002</v>
      </c>
      <c r="I514" s="4">
        <f t="shared" si="266"/>
        <v>99.914454814422783</v>
      </c>
    </row>
    <row r="515" spans="1:9" ht="17.45" customHeight="1" x14ac:dyDescent="0.25">
      <c r="A515" s="29" t="s">
        <v>505</v>
      </c>
      <c r="B515" s="40" t="s">
        <v>1059</v>
      </c>
      <c r="C515" s="2">
        <v>11</v>
      </c>
      <c r="D515" s="68"/>
      <c r="E515" s="68"/>
      <c r="F515" s="68"/>
      <c r="G515" s="10">
        <f t="shared" ref="G515:H515" si="296">G516</f>
        <v>45686.369999999995</v>
      </c>
      <c r="H515" s="313">
        <f t="shared" si="296"/>
        <v>45647.287510000002</v>
      </c>
      <c r="I515" s="337">
        <f t="shared" si="266"/>
        <v>99.914454814422783</v>
      </c>
    </row>
    <row r="516" spans="1:9" ht="19.5" customHeight="1" x14ac:dyDescent="0.25">
      <c r="A516" s="29" t="s">
        <v>507</v>
      </c>
      <c r="B516" s="40" t="s">
        <v>1059</v>
      </c>
      <c r="C516" s="40" t="s">
        <v>506</v>
      </c>
      <c r="D516" s="40" t="s">
        <v>133</v>
      </c>
      <c r="E516" s="71"/>
      <c r="F516" s="5"/>
      <c r="G516" s="10">
        <f>G517+G521+G525</f>
        <v>45686.369999999995</v>
      </c>
      <c r="H516" s="313">
        <f t="shared" ref="H516" si="297">H517+H521+H525</f>
        <v>45647.287510000002</v>
      </c>
      <c r="I516" s="337">
        <f t="shared" si="266"/>
        <v>99.914454814422783</v>
      </c>
    </row>
    <row r="517" spans="1:9" ht="47.25" x14ac:dyDescent="0.25">
      <c r="A517" s="25" t="s">
        <v>835</v>
      </c>
      <c r="B517" s="20" t="s">
        <v>1069</v>
      </c>
      <c r="C517" s="40" t="s">
        <v>506</v>
      </c>
      <c r="D517" s="40" t="s">
        <v>133</v>
      </c>
      <c r="E517" s="71"/>
      <c r="F517" s="5"/>
      <c r="G517" s="10">
        <f>G518</f>
        <v>12845.420000000002</v>
      </c>
      <c r="H517" s="313">
        <f t="shared" ref="H517:H518" si="298">H518</f>
        <v>12832.99034</v>
      </c>
      <c r="I517" s="337">
        <f t="shared" si="266"/>
        <v>99.903236639985295</v>
      </c>
    </row>
    <row r="518" spans="1:9" ht="31.5" x14ac:dyDescent="0.25">
      <c r="A518" s="29" t="s">
        <v>287</v>
      </c>
      <c r="B518" s="20" t="s">
        <v>1069</v>
      </c>
      <c r="C518" s="40" t="s">
        <v>506</v>
      </c>
      <c r="D518" s="40" t="s">
        <v>133</v>
      </c>
      <c r="E518" s="40" t="s">
        <v>288</v>
      </c>
      <c r="F518" s="5"/>
      <c r="G518" s="10">
        <f>G519</f>
        <v>12845.420000000002</v>
      </c>
      <c r="H518" s="313">
        <f t="shared" si="298"/>
        <v>12832.99034</v>
      </c>
      <c r="I518" s="337">
        <f t="shared" si="266"/>
        <v>99.903236639985295</v>
      </c>
    </row>
    <row r="519" spans="1:9" ht="15.75" x14ac:dyDescent="0.25">
      <c r="A519" s="29" t="s">
        <v>289</v>
      </c>
      <c r="B519" s="20" t="s">
        <v>1069</v>
      </c>
      <c r="C519" s="40" t="s">
        <v>506</v>
      </c>
      <c r="D519" s="40" t="s">
        <v>133</v>
      </c>
      <c r="E519" s="40" t="s">
        <v>290</v>
      </c>
      <c r="F519" s="5"/>
      <c r="G519" s="10">
        <f>'Пр.4 ведом.20'!G868</f>
        <v>12845.420000000002</v>
      </c>
      <c r="H519" s="313">
        <f>'Пр.4 ведом.20'!H868</f>
        <v>12832.99034</v>
      </c>
      <c r="I519" s="337">
        <f t="shared" si="266"/>
        <v>99.903236639985295</v>
      </c>
    </row>
    <row r="520" spans="1:9" s="210" customFormat="1" ht="31.5" x14ac:dyDescent="0.25">
      <c r="A520" s="70" t="s">
        <v>495</v>
      </c>
      <c r="B520" s="20" t="s">
        <v>1069</v>
      </c>
      <c r="C520" s="40" t="s">
        <v>506</v>
      </c>
      <c r="D520" s="40" t="s">
        <v>133</v>
      </c>
      <c r="E520" s="40" t="s">
        <v>290</v>
      </c>
      <c r="F520" s="5">
        <v>907</v>
      </c>
      <c r="G520" s="10">
        <f>G519</f>
        <v>12845.420000000002</v>
      </c>
      <c r="H520" s="313">
        <f t="shared" ref="H520" si="299">H519</f>
        <v>12832.99034</v>
      </c>
      <c r="I520" s="337">
        <f t="shared" si="266"/>
        <v>99.903236639985295</v>
      </c>
    </row>
    <row r="521" spans="1:9" ht="31.5" x14ac:dyDescent="0.25">
      <c r="A521" s="25" t="s">
        <v>834</v>
      </c>
      <c r="B521" s="20" t="s">
        <v>1070</v>
      </c>
      <c r="C521" s="40" t="s">
        <v>506</v>
      </c>
      <c r="D521" s="40" t="s">
        <v>133</v>
      </c>
      <c r="E521" s="40"/>
      <c r="F521" s="5"/>
      <c r="G521" s="10">
        <f>G522</f>
        <v>14212.149999999998</v>
      </c>
      <c r="H521" s="313">
        <f t="shared" ref="H521:H522" si="300">H522</f>
        <v>14185.497230000001</v>
      </c>
      <c r="I521" s="337">
        <f t="shared" si="266"/>
        <v>99.812464897992243</v>
      </c>
    </row>
    <row r="522" spans="1:9" ht="31.5" x14ac:dyDescent="0.25">
      <c r="A522" s="25" t="s">
        <v>287</v>
      </c>
      <c r="B522" s="20" t="s">
        <v>1070</v>
      </c>
      <c r="C522" s="40" t="s">
        <v>506</v>
      </c>
      <c r="D522" s="40" t="s">
        <v>133</v>
      </c>
      <c r="E522" s="40" t="s">
        <v>288</v>
      </c>
      <c r="F522" s="5"/>
      <c r="G522" s="10">
        <f>G523</f>
        <v>14212.149999999998</v>
      </c>
      <c r="H522" s="313">
        <f t="shared" si="300"/>
        <v>14185.497230000001</v>
      </c>
      <c r="I522" s="337">
        <f t="shared" si="266"/>
        <v>99.812464897992243</v>
      </c>
    </row>
    <row r="523" spans="1:9" ht="15.75" x14ac:dyDescent="0.25">
      <c r="A523" s="25" t="s">
        <v>289</v>
      </c>
      <c r="B523" s="20" t="s">
        <v>1070</v>
      </c>
      <c r="C523" s="40" t="s">
        <v>506</v>
      </c>
      <c r="D523" s="40" t="s">
        <v>133</v>
      </c>
      <c r="E523" s="40" t="s">
        <v>290</v>
      </c>
      <c r="F523" s="5"/>
      <c r="G523" s="10">
        <f>'Пр.4 ведом.20'!G871</f>
        <v>14212.149999999998</v>
      </c>
      <c r="H523" s="313">
        <f>'Пр.4 ведом.20'!H871</f>
        <v>14185.497230000001</v>
      </c>
      <c r="I523" s="337">
        <f t="shared" si="266"/>
        <v>99.812464897992243</v>
      </c>
    </row>
    <row r="524" spans="1:9" s="210" customFormat="1" ht="31.5" x14ac:dyDescent="0.25">
      <c r="A524" s="70" t="s">
        <v>495</v>
      </c>
      <c r="B524" s="20" t="s">
        <v>1070</v>
      </c>
      <c r="C524" s="40" t="s">
        <v>506</v>
      </c>
      <c r="D524" s="40" t="s">
        <v>133</v>
      </c>
      <c r="E524" s="40" t="s">
        <v>290</v>
      </c>
      <c r="F524" s="5">
        <v>907</v>
      </c>
      <c r="G524" s="10">
        <f>G521</f>
        <v>14212.149999999998</v>
      </c>
      <c r="H524" s="313">
        <f t="shared" ref="H524" si="301">H521</f>
        <v>14185.497230000001</v>
      </c>
      <c r="I524" s="337">
        <f t="shared" si="266"/>
        <v>99.812464897992243</v>
      </c>
    </row>
    <row r="525" spans="1:9" ht="47.25" x14ac:dyDescent="0.25">
      <c r="A525" s="25" t="s">
        <v>833</v>
      </c>
      <c r="B525" s="20" t="s">
        <v>1071</v>
      </c>
      <c r="C525" s="40" t="s">
        <v>506</v>
      </c>
      <c r="D525" s="40" t="s">
        <v>133</v>
      </c>
      <c r="E525" s="40"/>
      <c r="F525" s="5"/>
      <c r="G525" s="10">
        <f>G526</f>
        <v>18628.8</v>
      </c>
      <c r="H525" s="313">
        <f t="shared" ref="H525:H526" si="302">H526</f>
        <v>18628.799940000001</v>
      </c>
      <c r="I525" s="337">
        <f t="shared" si="266"/>
        <v>99.999999677918069</v>
      </c>
    </row>
    <row r="526" spans="1:9" ht="31.5" x14ac:dyDescent="0.25">
      <c r="A526" s="25" t="s">
        <v>287</v>
      </c>
      <c r="B526" s="20" t="s">
        <v>1071</v>
      </c>
      <c r="C526" s="40" t="s">
        <v>506</v>
      </c>
      <c r="D526" s="40" t="s">
        <v>133</v>
      </c>
      <c r="E526" s="40" t="s">
        <v>288</v>
      </c>
      <c r="F526" s="5"/>
      <c r="G526" s="10">
        <f>G527</f>
        <v>18628.8</v>
      </c>
      <c r="H526" s="313">
        <f t="shared" si="302"/>
        <v>18628.799940000001</v>
      </c>
      <c r="I526" s="337">
        <f t="shared" si="266"/>
        <v>99.999999677918069</v>
      </c>
    </row>
    <row r="527" spans="1:9" ht="15.75" x14ac:dyDescent="0.25">
      <c r="A527" s="25" t="s">
        <v>289</v>
      </c>
      <c r="B527" s="20" t="s">
        <v>1071</v>
      </c>
      <c r="C527" s="40" t="s">
        <v>506</v>
      </c>
      <c r="D527" s="40" t="s">
        <v>133</v>
      </c>
      <c r="E527" s="40" t="s">
        <v>290</v>
      </c>
      <c r="F527" s="5"/>
      <c r="G527" s="10">
        <f>'Пр.4 ведом.20'!G874</f>
        <v>18628.8</v>
      </c>
      <c r="H527" s="313">
        <f>'Пр.4 ведом.20'!H874</f>
        <v>18628.799940000001</v>
      </c>
      <c r="I527" s="337">
        <f t="shared" si="266"/>
        <v>99.999999677918069</v>
      </c>
    </row>
    <row r="528" spans="1:9" s="210" customFormat="1" ht="31.5" x14ac:dyDescent="0.25">
      <c r="A528" s="70" t="s">
        <v>495</v>
      </c>
      <c r="B528" s="20" t="s">
        <v>1071</v>
      </c>
      <c r="C528" s="40" t="s">
        <v>506</v>
      </c>
      <c r="D528" s="40" t="s">
        <v>133</v>
      </c>
      <c r="E528" s="40" t="s">
        <v>290</v>
      </c>
      <c r="F528" s="5">
        <v>907</v>
      </c>
      <c r="G528" s="10">
        <f>G525</f>
        <v>18628.8</v>
      </c>
      <c r="H528" s="313">
        <f t="shared" ref="H528" si="303">H525</f>
        <v>18628.799940000001</v>
      </c>
      <c r="I528" s="337">
        <f t="shared" si="266"/>
        <v>99.999999677918069</v>
      </c>
    </row>
    <row r="529" spans="1:9" s="210" customFormat="1" ht="31.5" x14ac:dyDescent="0.25">
      <c r="A529" s="23" t="s">
        <v>1072</v>
      </c>
      <c r="B529" s="24" t="s">
        <v>1073</v>
      </c>
      <c r="C529" s="7"/>
      <c r="D529" s="7"/>
      <c r="E529" s="7"/>
      <c r="F529" s="206"/>
      <c r="G529" s="59">
        <f>G530</f>
        <v>288</v>
      </c>
      <c r="H529" s="325">
        <f t="shared" ref="H529" si="304">H530</f>
        <v>288</v>
      </c>
      <c r="I529" s="4">
        <f t="shared" ref="I529:I592" si="305">H529/G529*100</f>
        <v>100</v>
      </c>
    </row>
    <row r="530" spans="1:9" s="210" customFormat="1" ht="15.75" x14ac:dyDescent="0.25">
      <c r="A530" s="29" t="s">
        <v>505</v>
      </c>
      <c r="B530" s="40" t="s">
        <v>1073</v>
      </c>
      <c r="C530" s="2">
        <v>11</v>
      </c>
      <c r="D530" s="68"/>
      <c r="E530" s="68"/>
      <c r="F530" s="68"/>
      <c r="G530" s="10">
        <f t="shared" ref="G530:H530" si="306">G531</f>
        <v>288</v>
      </c>
      <c r="H530" s="313">
        <f t="shared" si="306"/>
        <v>288</v>
      </c>
      <c r="I530" s="337">
        <f t="shared" si="305"/>
        <v>100</v>
      </c>
    </row>
    <row r="531" spans="1:9" s="210" customFormat="1" ht="16.5" x14ac:dyDescent="0.25">
      <c r="A531" s="29" t="s">
        <v>507</v>
      </c>
      <c r="B531" s="40" t="s">
        <v>1073</v>
      </c>
      <c r="C531" s="40" t="s">
        <v>506</v>
      </c>
      <c r="D531" s="40" t="s">
        <v>133</v>
      </c>
      <c r="E531" s="71"/>
      <c r="F531" s="5"/>
      <c r="G531" s="10">
        <f>G532+G536+G540</f>
        <v>288</v>
      </c>
      <c r="H531" s="313">
        <f t="shared" ref="H531" si="307">H532+H536+H540</f>
        <v>288</v>
      </c>
      <c r="I531" s="337">
        <f t="shared" si="305"/>
        <v>100</v>
      </c>
    </row>
    <row r="532" spans="1:9" ht="31.7" hidden="1" customHeight="1" x14ac:dyDescent="0.25">
      <c r="A532" s="29" t="s">
        <v>293</v>
      </c>
      <c r="B532" s="20" t="s">
        <v>1077</v>
      </c>
      <c r="C532" s="40" t="s">
        <v>506</v>
      </c>
      <c r="D532" s="40" t="s">
        <v>133</v>
      </c>
      <c r="E532" s="40"/>
      <c r="F532" s="5"/>
      <c r="G532" s="10">
        <f t="shared" ref="G532:H533" si="308">G533</f>
        <v>252</v>
      </c>
      <c r="H532" s="313">
        <f t="shared" si="308"/>
        <v>252</v>
      </c>
      <c r="I532" s="337">
        <f t="shared" si="305"/>
        <v>100</v>
      </c>
    </row>
    <row r="533" spans="1:9" ht="31.7" hidden="1" customHeight="1" x14ac:dyDescent="0.25">
      <c r="A533" s="29" t="s">
        <v>287</v>
      </c>
      <c r="B533" s="20" t="s">
        <v>1077</v>
      </c>
      <c r="C533" s="40" t="s">
        <v>506</v>
      </c>
      <c r="D533" s="40" t="s">
        <v>133</v>
      </c>
      <c r="E533" s="40" t="s">
        <v>288</v>
      </c>
      <c r="F533" s="5"/>
      <c r="G533" s="10">
        <f t="shared" si="308"/>
        <v>252</v>
      </c>
      <c r="H533" s="313">
        <f t="shared" si="308"/>
        <v>252</v>
      </c>
      <c r="I533" s="337">
        <f t="shared" si="305"/>
        <v>100</v>
      </c>
    </row>
    <row r="534" spans="1:9" ht="15.75" hidden="1" customHeight="1" x14ac:dyDescent="0.25">
      <c r="A534" s="29" t="s">
        <v>289</v>
      </c>
      <c r="B534" s="20" t="s">
        <v>1077</v>
      </c>
      <c r="C534" s="40" t="s">
        <v>506</v>
      </c>
      <c r="D534" s="40" t="s">
        <v>133</v>
      </c>
      <c r="E534" s="40" t="s">
        <v>290</v>
      </c>
      <c r="F534" s="5"/>
      <c r="G534" s="10">
        <f>'Пр.4 ведом.20'!G878</f>
        <v>252</v>
      </c>
      <c r="H534" s="313">
        <f>'Пр.4 ведом.20'!H878</f>
        <v>252</v>
      </c>
      <c r="I534" s="337">
        <f t="shared" si="305"/>
        <v>100</v>
      </c>
    </row>
    <row r="535" spans="1:9" s="210" customFormat="1" ht="34.5" hidden="1" customHeight="1" x14ac:dyDescent="0.25">
      <c r="A535" s="70" t="s">
        <v>495</v>
      </c>
      <c r="B535" s="20" t="s">
        <v>1077</v>
      </c>
      <c r="C535" s="40" t="s">
        <v>506</v>
      </c>
      <c r="D535" s="40" t="s">
        <v>133</v>
      </c>
      <c r="E535" s="40" t="s">
        <v>290</v>
      </c>
      <c r="F535" s="5">
        <v>907</v>
      </c>
      <c r="G535" s="10">
        <f>G534</f>
        <v>252</v>
      </c>
      <c r="H535" s="313">
        <f t="shared" ref="H535" si="309">H534</f>
        <v>252</v>
      </c>
      <c r="I535" s="337">
        <f t="shared" si="305"/>
        <v>100</v>
      </c>
    </row>
    <row r="536" spans="1:9" ht="31.7" hidden="1" customHeight="1" x14ac:dyDescent="0.25">
      <c r="A536" s="29" t="s">
        <v>295</v>
      </c>
      <c r="B536" s="20" t="s">
        <v>1078</v>
      </c>
      <c r="C536" s="40" t="s">
        <v>506</v>
      </c>
      <c r="D536" s="40" t="s">
        <v>133</v>
      </c>
      <c r="E536" s="40"/>
      <c r="F536" s="5"/>
      <c r="G536" s="10">
        <f t="shared" ref="G536:H537" si="310">G537</f>
        <v>0</v>
      </c>
      <c r="H536" s="313">
        <f t="shared" si="310"/>
        <v>0</v>
      </c>
      <c r="I536" s="337" t="e">
        <f t="shared" si="305"/>
        <v>#DIV/0!</v>
      </c>
    </row>
    <row r="537" spans="1:9" ht="31.7" hidden="1" customHeight="1" x14ac:dyDescent="0.25">
      <c r="A537" s="29" t="s">
        <v>287</v>
      </c>
      <c r="B537" s="20" t="s">
        <v>1078</v>
      </c>
      <c r="C537" s="40" t="s">
        <v>506</v>
      </c>
      <c r="D537" s="40" t="s">
        <v>133</v>
      </c>
      <c r="E537" s="40" t="s">
        <v>288</v>
      </c>
      <c r="F537" s="5"/>
      <c r="G537" s="10">
        <f t="shared" si="310"/>
        <v>0</v>
      </c>
      <c r="H537" s="313">
        <f t="shared" si="310"/>
        <v>0</v>
      </c>
      <c r="I537" s="337" t="e">
        <f t="shared" si="305"/>
        <v>#DIV/0!</v>
      </c>
    </row>
    <row r="538" spans="1:9" ht="15.75" hidden="1" customHeight="1" x14ac:dyDescent="0.25">
      <c r="A538" s="29" t="s">
        <v>289</v>
      </c>
      <c r="B538" s="20" t="s">
        <v>1078</v>
      </c>
      <c r="C538" s="40" t="s">
        <v>506</v>
      </c>
      <c r="D538" s="40" t="s">
        <v>133</v>
      </c>
      <c r="E538" s="40" t="s">
        <v>290</v>
      </c>
      <c r="F538" s="5"/>
      <c r="G538" s="10">
        <f>'Пр.4 ведом.20'!G881</f>
        <v>0</v>
      </c>
      <c r="H538" s="313">
        <f>'Пр.4 ведом.20'!H881</f>
        <v>0</v>
      </c>
      <c r="I538" s="337" t="e">
        <f t="shared" si="305"/>
        <v>#DIV/0!</v>
      </c>
    </row>
    <row r="539" spans="1:9" s="210" customFormat="1" ht="36" hidden="1" customHeight="1" x14ac:dyDescent="0.25">
      <c r="A539" s="70" t="s">
        <v>495</v>
      </c>
      <c r="B539" s="20" t="s">
        <v>1078</v>
      </c>
      <c r="C539" s="40" t="s">
        <v>506</v>
      </c>
      <c r="D539" s="40" t="s">
        <v>133</v>
      </c>
      <c r="E539" s="40" t="s">
        <v>290</v>
      </c>
      <c r="F539" s="5">
        <v>907</v>
      </c>
      <c r="G539" s="10">
        <f>G538</f>
        <v>0</v>
      </c>
      <c r="H539" s="313">
        <f t="shared" ref="H539" si="311">H538</f>
        <v>0</v>
      </c>
      <c r="I539" s="337" t="e">
        <f t="shared" si="305"/>
        <v>#DIV/0!</v>
      </c>
    </row>
    <row r="540" spans="1:9" s="210" customFormat="1" ht="15.75" customHeight="1" x14ac:dyDescent="0.25">
      <c r="A540" s="25" t="s">
        <v>874</v>
      </c>
      <c r="B540" s="20" t="s">
        <v>1079</v>
      </c>
      <c r="C540" s="40" t="s">
        <v>506</v>
      </c>
      <c r="D540" s="40" t="s">
        <v>133</v>
      </c>
      <c r="E540" s="40"/>
      <c r="F540" s="5"/>
      <c r="G540" s="10">
        <f>G541</f>
        <v>36</v>
      </c>
      <c r="H540" s="313">
        <f t="shared" ref="H540:H541" si="312">H541</f>
        <v>36</v>
      </c>
      <c r="I540" s="337">
        <f t="shared" si="305"/>
        <v>100</v>
      </c>
    </row>
    <row r="541" spans="1:9" s="210" customFormat="1" ht="31.5" x14ac:dyDescent="0.25">
      <c r="A541" s="25" t="s">
        <v>287</v>
      </c>
      <c r="B541" s="20" t="s">
        <v>1079</v>
      </c>
      <c r="C541" s="40" t="s">
        <v>506</v>
      </c>
      <c r="D541" s="40" t="s">
        <v>133</v>
      </c>
      <c r="E541" s="40" t="s">
        <v>288</v>
      </c>
      <c r="F541" s="5"/>
      <c r="G541" s="10">
        <f>G542</f>
        <v>36</v>
      </c>
      <c r="H541" s="313">
        <f t="shared" si="312"/>
        <v>36</v>
      </c>
      <c r="I541" s="337">
        <f t="shared" si="305"/>
        <v>100</v>
      </c>
    </row>
    <row r="542" spans="1:9" s="210" customFormat="1" ht="15.75" customHeight="1" x14ac:dyDescent="0.25">
      <c r="A542" s="25" t="s">
        <v>289</v>
      </c>
      <c r="B542" s="20" t="s">
        <v>1079</v>
      </c>
      <c r="C542" s="40" t="s">
        <v>506</v>
      </c>
      <c r="D542" s="40" t="s">
        <v>133</v>
      </c>
      <c r="E542" s="40" t="s">
        <v>290</v>
      </c>
      <c r="F542" s="5"/>
      <c r="G542" s="10">
        <f>'Пр.4 ведом.20'!G884</f>
        <v>36</v>
      </c>
      <c r="H542" s="313">
        <f>'Пр.4 ведом.20'!H884</f>
        <v>36</v>
      </c>
      <c r="I542" s="337">
        <f t="shared" si="305"/>
        <v>100</v>
      </c>
    </row>
    <row r="543" spans="1:9" s="210" customFormat="1" ht="33" customHeight="1" x14ac:dyDescent="0.25">
      <c r="A543" s="70" t="s">
        <v>495</v>
      </c>
      <c r="B543" s="20" t="s">
        <v>1079</v>
      </c>
      <c r="C543" s="40" t="s">
        <v>506</v>
      </c>
      <c r="D543" s="40" t="s">
        <v>133</v>
      </c>
      <c r="E543" s="40" t="s">
        <v>290</v>
      </c>
      <c r="F543" s="5">
        <v>907</v>
      </c>
      <c r="G543" s="10">
        <f>G542</f>
        <v>36</v>
      </c>
      <c r="H543" s="313">
        <f t="shared" ref="H543" si="313">H542</f>
        <v>36</v>
      </c>
      <c r="I543" s="337">
        <f t="shared" si="305"/>
        <v>100</v>
      </c>
    </row>
    <row r="544" spans="1:9" s="210" customFormat="1" ht="36" customHeight="1" x14ac:dyDescent="0.25">
      <c r="A544" s="23" t="s">
        <v>1074</v>
      </c>
      <c r="B544" s="24" t="s">
        <v>1076</v>
      </c>
      <c r="C544" s="7"/>
      <c r="D544" s="7"/>
      <c r="E544" s="7"/>
      <c r="F544" s="206"/>
      <c r="G544" s="59">
        <f>G545</f>
        <v>1236.0999999999999</v>
      </c>
      <c r="H544" s="325">
        <f t="shared" ref="H544" si="314">H545</f>
        <v>1199.2900999999999</v>
      </c>
      <c r="I544" s="4">
        <f t="shared" si="305"/>
        <v>97.022093681740955</v>
      </c>
    </row>
    <row r="545" spans="1:9" s="210" customFormat="1" ht="18" customHeight="1" x14ac:dyDescent="0.25">
      <c r="A545" s="29" t="s">
        <v>505</v>
      </c>
      <c r="B545" s="40" t="s">
        <v>1076</v>
      </c>
      <c r="C545" s="2">
        <v>11</v>
      </c>
      <c r="D545" s="68"/>
      <c r="E545" s="68"/>
      <c r="F545" s="68"/>
      <c r="G545" s="10">
        <f t="shared" ref="G545:H545" si="315">G546</f>
        <v>1236.0999999999999</v>
      </c>
      <c r="H545" s="313">
        <f t="shared" si="315"/>
        <v>1199.2900999999999</v>
      </c>
      <c r="I545" s="337">
        <f t="shared" si="305"/>
        <v>97.022093681740955</v>
      </c>
    </row>
    <row r="546" spans="1:9" s="210" customFormat="1" ht="18" customHeight="1" x14ac:dyDescent="0.25">
      <c r="A546" s="29" t="s">
        <v>507</v>
      </c>
      <c r="B546" s="40" t="s">
        <v>1076</v>
      </c>
      <c r="C546" s="40" t="s">
        <v>506</v>
      </c>
      <c r="D546" s="40" t="s">
        <v>133</v>
      </c>
      <c r="E546" s="71"/>
      <c r="F546" s="5"/>
      <c r="G546" s="10">
        <f>G547+G551</f>
        <v>1236.0999999999999</v>
      </c>
      <c r="H546" s="313">
        <f t="shared" ref="H546" si="316">H547+H551</f>
        <v>1199.2900999999999</v>
      </c>
      <c r="I546" s="337">
        <f t="shared" si="305"/>
        <v>97.022093681740955</v>
      </c>
    </row>
    <row r="547" spans="1:9" ht="31.7" hidden="1" customHeight="1" x14ac:dyDescent="0.25">
      <c r="A547" s="29" t="s">
        <v>299</v>
      </c>
      <c r="B547" s="20" t="s">
        <v>1080</v>
      </c>
      <c r="C547" s="40" t="s">
        <v>506</v>
      </c>
      <c r="D547" s="40" t="s">
        <v>133</v>
      </c>
      <c r="E547" s="40"/>
      <c r="F547" s="5"/>
      <c r="G547" s="10">
        <f t="shared" ref="G547:H548" si="317">G548</f>
        <v>0</v>
      </c>
      <c r="H547" s="313">
        <f t="shared" si="317"/>
        <v>0</v>
      </c>
      <c r="I547" s="337" t="e">
        <f t="shared" si="305"/>
        <v>#DIV/0!</v>
      </c>
    </row>
    <row r="548" spans="1:9" ht="31.7" hidden="1" customHeight="1" x14ac:dyDescent="0.25">
      <c r="A548" s="29" t="s">
        <v>287</v>
      </c>
      <c r="B548" s="20" t="s">
        <v>1080</v>
      </c>
      <c r="C548" s="40" t="s">
        <v>506</v>
      </c>
      <c r="D548" s="40" t="s">
        <v>133</v>
      </c>
      <c r="E548" s="40" t="s">
        <v>288</v>
      </c>
      <c r="F548" s="5"/>
      <c r="G548" s="10">
        <f t="shared" si="317"/>
        <v>0</v>
      </c>
      <c r="H548" s="313">
        <f t="shared" si="317"/>
        <v>0</v>
      </c>
      <c r="I548" s="337" t="e">
        <f t="shared" si="305"/>
        <v>#DIV/0!</v>
      </c>
    </row>
    <row r="549" spans="1:9" ht="15.75" hidden="1" customHeight="1" x14ac:dyDescent="0.25">
      <c r="A549" s="29" t="s">
        <v>289</v>
      </c>
      <c r="B549" s="20" t="s">
        <v>1080</v>
      </c>
      <c r="C549" s="40" t="s">
        <v>506</v>
      </c>
      <c r="D549" s="40" t="s">
        <v>133</v>
      </c>
      <c r="E549" s="40" t="s">
        <v>290</v>
      </c>
      <c r="F549" s="5"/>
      <c r="G549" s="10">
        <f>'Пр.4 ведом.20'!G888</f>
        <v>0</v>
      </c>
      <c r="H549" s="313">
        <f>'Пр.4 ведом.20'!H888</f>
        <v>0</v>
      </c>
      <c r="I549" s="337" t="e">
        <f t="shared" si="305"/>
        <v>#DIV/0!</v>
      </c>
    </row>
    <row r="550" spans="1:9" s="210" customFormat="1" ht="15.75" hidden="1" customHeight="1" x14ac:dyDescent="0.25">
      <c r="A550" s="70" t="s">
        <v>495</v>
      </c>
      <c r="B550" s="20" t="s">
        <v>1080</v>
      </c>
      <c r="C550" s="40" t="s">
        <v>506</v>
      </c>
      <c r="D550" s="40" t="s">
        <v>133</v>
      </c>
      <c r="E550" s="40" t="s">
        <v>290</v>
      </c>
      <c r="F550" s="5">
        <v>907</v>
      </c>
      <c r="G550" s="10">
        <f>G549</f>
        <v>0</v>
      </c>
      <c r="H550" s="313">
        <f t="shared" ref="H550" si="318">H549</f>
        <v>0</v>
      </c>
      <c r="I550" s="337" t="e">
        <f t="shared" si="305"/>
        <v>#DIV/0!</v>
      </c>
    </row>
    <row r="551" spans="1:9" ht="31.5" x14ac:dyDescent="0.25">
      <c r="A551" s="45" t="s">
        <v>785</v>
      </c>
      <c r="B551" s="20" t="s">
        <v>1081</v>
      </c>
      <c r="C551" s="40" t="s">
        <v>506</v>
      </c>
      <c r="D551" s="40" t="s">
        <v>133</v>
      </c>
      <c r="E551" s="40"/>
      <c r="F551" s="5"/>
      <c r="G551" s="10">
        <f t="shared" ref="G551:H552" si="319">G552</f>
        <v>1236.0999999999999</v>
      </c>
      <c r="H551" s="313">
        <f t="shared" si="319"/>
        <v>1199.2900999999999</v>
      </c>
      <c r="I551" s="337">
        <f t="shared" si="305"/>
        <v>97.022093681740955</v>
      </c>
    </row>
    <row r="552" spans="1:9" ht="31.5" x14ac:dyDescent="0.25">
      <c r="A552" s="31" t="s">
        <v>287</v>
      </c>
      <c r="B552" s="20" t="s">
        <v>1081</v>
      </c>
      <c r="C552" s="40" t="s">
        <v>506</v>
      </c>
      <c r="D552" s="40" t="s">
        <v>133</v>
      </c>
      <c r="E552" s="40" t="s">
        <v>288</v>
      </c>
      <c r="F552" s="5"/>
      <c r="G552" s="10">
        <f t="shared" si="319"/>
        <v>1236.0999999999999</v>
      </c>
      <c r="H552" s="313">
        <f t="shared" si="319"/>
        <v>1199.2900999999999</v>
      </c>
      <c r="I552" s="337">
        <f t="shared" si="305"/>
        <v>97.022093681740955</v>
      </c>
    </row>
    <row r="553" spans="1:9" ht="15.75" x14ac:dyDescent="0.25">
      <c r="A553" s="31" t="s">
        <v>289</v>
      </c>
      <c r="B553" s="20" t="s">
        <v>1081</v>
      </c>
      <c r="C553" s="40" t="s">
        <v>506</v>
      </c>
      <c r="D553" s="40" t="s">
        <v>133</v>
      </c>
      <c r="E553" s="40" t="s">
        <v>290</v>
      </c>
      <c r="F553" s="5"/>
      <c r="G553" s="10">
        <f>'Пр.4 ведом.20'!G891</f>
        <v>1236.0999999999999</v>
      </c>
      <c r="H553" s="313">
        <f>'Пр.4 ведом.20'!H891</f>
        <v>1199.2900999999999</v>
      </c>
      <c r="I553" s="337">
        <f t="shared" si="305"/>
        <v>97.022093681740955</v>
      </c>
    </row>
    <row r="554" spans="1:9" s="210" customFormat="1" ht="31.5" x14ac:dyDescent="0.25">
      <c r="A554" s="70" t="s">
        <v>495</v>
      </c>
      <c r="B554" s="20" t="s">
        <v>1081</v>
      </c>
      <c r="C554" s="40" t="s">
        <v>506</v>
      </c>
      <c r="D554" s="40" t="s">
        <v>133</v>
      </c>
      <c r="E554" s="40" t="s">
        <v>290</v>
      </c>
      <c r="F554" s="5">
        <v>907</v>
      </c>
      <c r="G554" s="10">
        <f>G553</f>
        <v>1236.0999999999999</v>
      </c>
      <c r="H554" s="313">
        <f t="shared" ref="H554" si="320">H553</f>
        <v>1199.2900999999999</v>
      </c>
      <c r="I554" s="337">
        <f t="shared" si="305"/>
        <v>97.022093681740955</v>
      </c>
    </row>
    <row r="555" spans="1:9" s="210" customFormat="1" ht="47.25" x14ac:dyDescent="0.25">
      <c r="A555" s="23" t="s">
        <v>969</v>
      </c>
      <c r="B555" s="24" t="s">
        <v>1082</v>
      </c>
      <c r="C555" s="7"/>
      <c r="D555" s="7"/>
      <c r="E555" s="7"/>
      <c r="F555" s="206"/>
      <c r="G555" s="59">
        <f>G556</f>
        <v>813.5</v>
      </c>
      <c r="H555" s="325">
        <f t="shared" ref="H555" si="321">H556</f>
        <v>707.47211000000004</v>
      </c>
      <c r="I555" s="4">
        <f t="shared" si="305"/>
        <v>86.96645482483099</v>
      </c>
    </row>
    <row r="556" spans="1:9" s="210" customFormat="1" ht="15.75" x14ac:dyDescent="0.25">
      <c r="A556" s="29" t="s">
        <v>505</v>
      </c>
      <c r="B556" s="40" t="s">
        <v>1082</v>
      </c>
      <c r="C556" s="2">
        <v>11</v>
      </c>
      <c r="D556" s="68"/>
      <c r="E556" s="68"/>
      <c r="F556" s="68"/>
      <c r="G556" s="10">
        <f t="shared" ref="G556:H559" si="322">G557</f>
        <v>813.5</v>
      </c>
      <c r="H556" s="313">
        <f t="shared" si="322"/>
        <v>707.47211000000004</v>
      </c>
      <c r="I556" s="337">
        <f t="shared" si="305"/>
        <v>86.96645482483099</v>
      </c>
    </row>
    <row r="557" spans="1:9" s="210" customFormat="1" ht="16.5" x14ac:dyDescent="0.25">
      <c r="A557" s="29" t="s">
        <v>507</v>
      </c>
      <c r="B557" s="40" t="s">
        <v>1082</v>
      </c>
      <c r="C557" s="40" t="s">
        <v>506</v>
      </c>
      <c r="D557" s="40" t="s">
        <v>133</v>
      </c>
      <c r="E557" s="71"/>
      <c r="F557" s="5"/>
      <c r="G557" s="10">
        <f>G558</f>
        <v>813.5</v>
      </c>
      <c r="H557" s="313">
        <f t="shared" si="322"/>
        <v>707.47211000000004</v>
      </c>
      <c r="I557" s="337">
        <f t="shared" si="305"/>
        <v>86.96645482483099</v>
      </c>
    </row>
    <row r="558" spans="1:9" s="210" customFormat="1" ht="94.5" x14ac:dyDescent="0.25">
      <c r="A558" s="31" t="s">
        <v>479</v>
      </c>
      <c r="B558" s="20" t="s">
        <v>1509</v>
      </c>
      <c r="C558" s="40" t="s">
        <v>506</v>
      </c>
      <c r="D558" s="40" t="s">
        <v>133</v>
      </c>
      <c r="E558" s="40"/>
      <c r="F558" s="5"/>
      <c r="G558" s="10">
        <f>G559</f>
        <v>813.5</v>
      </c>
      <c r="H558" s="313">
        <f t="shared" si="322"/>
        <v>707.47211000000004</v>
      </c>
      <c r="I558" s="337">
        <f t="shared" si="305"/>
        <v>86.96645482483099</v>
      </c>
    </row>
    <row r="559" spans="1:9" s="210" customFormat="1" ht="31.5" x14ac:dyDescent="0.25">
      <c r="A559" s="25" t="s">
        <v>287</v>
      </c>
      <c r="B559" s="316" t="s">
        <v>1509</v>
      </c>
      <c r="C559" s="40" t="s">
        <v>506</v>
      </c>
      <c r="D559" s="40" t="s">
        <v>133</v>
      </c>
      <c r="E559" s="40" t="s">
        <v>288</v>
      </c>
      <c r="F559" s="5"/>
      <c r="G559" s="10">
        <f>G560</f>
        <v>813.5</v>
      </c>
      <c r="H559" s="313">
        <f t="shared" si="322"/>
        <v>707.47211000000004</v>
      </c>
      <c r="I559" s="337">
        <f t="shared" si="305"/>
        <v>86.96645482483099</v>
      </c>
    </row>
    <row r="560" spans="1:9" s="210" customFormat="1" ht="15.75" x14ac:dyDescent="0.25">
      <c r="A560" s="25" t="s">
        <v>289</v>
      </c>
      <c r="B560" s="316" t="s">
        <v>1509</v>
      </c>
      <c r="C560" s="40" t="s">
        <v>506</v>
      </c>
      <c r="D560" s="40" t="s">
        <v>133</v>
      </c>
      <c r="E560" s="40" t="s">
        <v>290</v>
      </c>
      <c r="F560" s="5"/>
      <c r="G560" s="10">
        <f>'Пр.4 ведом.20'!G895</f>
        <v>813.5</v>
      </c>
      <c r="H560" s="313">
        <f>'Пр.4 ведом.20'!H895</f>
        <v>707.47211000000004</v>
      </c>
      <c r="I560" s="337">
        <f t="shared" si="305"/>
        <v>86.96645482483099</v>
      </c>
    </row>
    <row r="561" spans="1:9" s="210" customFormat="1" ht="31.5" x14ac:dyDescent="0.25">
      <c r="A561" s="70" t="s">
        <v>495</v>
      </c>
      <c r="B561" s="316" t="s">
        <v>1509</v>
      </c>
      <c r="C561" s="40" t="s">
        <v>506</v>
      </c>
      <c r="D561" s="40" t="s">
        <v>133</v>
      </c>
      <c r="E561" s="40" t="s">
        <v>290</v>
      </c>
      <c r="F561" s="5">
        <v>907</v>
      </c>
      <c r="G561" s="10">
        <f>G560</f>
        <v>813.5</v>
      </c>
      <c r="H561" s="313">
        <f t="shared" ref="H561" si="323">H560</f>
        <v>707.47211000000004</v>
      </c>
      <c r="I561" s="337">
        <f t="shared" si="305"/>
        <v>86.96645482483099</v>
      </c>
    </row>
    <row r="562" spans="1:9" s="210" customFormat="1" ht="63" x14ac:dyDescent="0.25">
      <c r="A562" s="23" t="s">
        <v>1474</v>
      </c>
      <c r="B562" s="24" t="s">
        <v>1471</v>
      </c>
      <c r="C562" s="7"/>
      <c r="D562" s="7"/>
      <c r="E562" s="7"/>
      <c r="F562" s="206"/>
      <c r="G562" s="59">
        <f>G563</f>
        <v>439.56040000000002</v>
      </c>
      <c r="H562" s="325">
        <f t="shared" ref="H562:H566" si="324">H563</f>
        <v>439.56</v>
      </c>
      <c r="I562" s="4">
        <f t="shared" si="305"/>
        <v>99.999908999991803</v>
      </c>
    </row>
    <row r="563" spans="1:9" s="210" customFormat="1" ht="15.75" x14ac:dyDescent="0.25">
      <c r="A563" s="29" t="s">
        <v>505</v>
      </c>
      <c r="B563" s="20" t="s">
        <v>1471</v>
      </c>
      <c r="C563" s="40" t="s">
        <v>506</v>
      </c>
      <c r="D563" s="40"/>
      <c r="E563" s="40"/>
      <c r="F563" s="5"/>
      <c r="G563" s="10">
        <f>G564</f>
        <v>439.56040000000002</v>
      </c>
      <c r="H563" s="313">
        <f t="shared" si="324"/>
        <v>439.56</v>
      </c>
      <c r="I563" s="337">
        <f t="shared" si="305"/>
        <v>99.999908999991803</v>
      </c>
    </row>
    <row r="564" spans="1:9" s="210" customFormat="1" ht="15.75" x14ac:dyDescent="0.25">
      <c r="A564" s="29" t="s">
        <v>507</v>
      </c>
      <c r="B564" s="20" t="s">
        <v>1471</v>
      </c>
      <c r="C564" s="40" t="s">
        <v>506</v>
      </c>
      <c r="D564" s="40" t="s">
        <v>133</v>
      </c>
      <c r="E564" s="40"/>
      <c r="F564" s="5"/>
      <c r="G564" s="10">
        <f>G565</f>
        <v>439.56040000000002</v>
      </c>
      <c r="H564" s="313">
        <f t="shared" si="324"/>
        <v>439.56</v>
      </c>
      <c r="I564" s="337">
        <f t="shared" si="305"/>
        <v>99.999908999991803</v>
      </c>
    </row>
    <row r="565" spans="1:9" s="210" customFormat="1" ht="47.25" x14ac:dyDescent="0.25">
      <c r="A565" s="25" t="s">
        <v>1475</v>
      </c>
      <c r="B565" s="20" t="s">
        <v>1470</v>
      </c>
      <c r="C565" s="40" t="s">
        <v>506</v>
      </c>
      <c r="D565" s="40" t="s">
        <v>133</v>
      </c>
      <c r="E565" s="40"/>
      <c r="F565" s="5"/>
      <c r="G565" s="10">
        <f>G566</f>
        <v>439.56040000000002</v>
      </c>
      <c r="H565" s="313">
        <f t="shared" si="324"/>
        <v>439.56</v>
      </c>
      <c r="I565" s="337">
        <f t="shared" si="305"/>
        <v>99.999908999991803</v>
      </c>
    </row>
    <row r="566" spans="1:9" s="210" customFormat="1" ht="31.5" x14ac:dyDescent="0.25">
      <c r="A566" s="25" t="s">
        <v>287</v>
      </c>
      <c r="B566" s="20" t="s">
        <v>1470</v>
      </c>
      <c r="C566" s="40" t="s">
        <v>506</v>
      </c>
      <c r="D566" s="40" t="s">
        <v>133</v>
      </c>
      <c r="E566" s="40" t="s">
        <v>288</v>
      </c>
      <c r="F566" s="5"/>
      <c r="G566" s="10">
        <f>G567</f>
        <v>439.56040000000002</v>
      </c>
      <c r="H566" s="313">
        <f t="shared" si="324"/>
        <v>439.56</v>
      </c>
      <c r="I566" s="337">
        <f t="shared" si="305"/>
        <v>99.999908999991803</v>
      </c>
    </row>
    <row r="567" spans="1:9" s="210" customFormat="1" ht="15.75" x14ac:dyDescent="0.25">
      <c r="A567" s="25" t="s">
        <v>289</v>
      </c>
      <c r="B567" s="20" t="s">
        <v>1470</v>
      </c>
      <c r="C567" s="40" t="s">
        <v>506</v>
      </c>
      <c r="D567" s="40" t="s">
        <v>133</v>
      </c>
      <c r="E567" s="40" t="s">
        <v>290</v>
      </c>
      <c r="F567" s="5"/>
      <c r="G567" s="10">
        <f>'Пр.4 ведом.20'!G902</f>
        <v>439.56040000000002</v>
      </c>
      <c r="H567" s="313">
        <f>'Пр.4 ведом.20'!H902</f>
        <v>439.56</v>
      </c>
      <c r="I567" s="337">
        <f t="shared" si="305"/>
        <v>99.999908999991803</v>
      </c>
    </row>
    <row r="568" spans="1:9" s="210" customFormat="1" ht="31.5" x14ac:dyDescent="0.25">
      <c r="A568" s="70" t="s">
        <v>495</v>
      </c>
      <c r="B568" s="20" t="s">
        <v>1470</v>
      </c>
      <c r="C568" s="40" t="s">
        <v>506</v>
      </c>
      <c r="D568" s="40" t="s">
        <v>133</v>
      </c>
      <c r="E568" s="40" t="s">
        <v>290</v>
      </c>
      <c r="F568" s="5">
        <v>907</v>
      </c>
      <c r="G568" s="10">
        <f>G562</f>
        <v>439.56040000000002</v>
      </c>
      <c r="H568" s="313">
        <f t="shared" ref="H568" si="325">H562</f>
        <v>439.56</v>
      </c>
      <c r="I568" s="337">
        <f t="shared" si="305"/>
        <v>99.999908999991803</v>
      </c>
    </row>
    <row r="569" spans="1:9" s="309" customFormat="1" ht="47.25" x14ac:dyDescent="0.25">
      <c r="A569" s="318" t="s">
        <v>1495</v>
      </c>
      <c r="B569" s="319" t="s">
        <v>1497</v>
      </c>
      <c r="C569" s="324"/>
      <c r="D569" s="324"/>
      <c r="E569" s="324"/>
      <c r="F569" s="311"/>
      <c r="G569" s="325">
        <f>G570</f>
        <v>5031.17</v>
      </c>
      <c r="H569" s="325">
        <f t="shared" ref="H569:H570" si="326">H570</f>
        <v>5031.1577799999995</v>
      </c>
      <c r="I569" s="4">
        <f t="shared" si="305"/>
        <v>99.999757114150384</v>
      </c>
    </row>
    <row r="570" spans="1:9" s="309" customFormat="1" ht="15.75" x14ac:dyDescent="0.25">
      <c r="A570" s="323" t="s">
        <v>505</v>
      </c>
      <c r="B570" s="316" t="s">
        <v>1497</v>
      </c>
      <c r="C570" s="324" t="s">
        <v>506</v>
      </c>
      <c r="D570" s="324"/>
      <c r="E570" s="324"/>
      <c r="F570" s="311"/>
      <c r="G570" s="313">
        <f>G571</f>
        <v>5031.17</v>
      </c>
      <c r="H570" s="313">
        <f t="shared" si="326"/>
        <v>5031.1577799999995</v>
      </c>
      <c r="I570" s="337">
        <f t="shared" si="305"/>
        <v>99.999757114150384</v>
      </c>
    </row>
    <row r="571" spans="1:9" s="309" customFormat="1" ht="15.75" x14ac:dyDescent="0.25">
      <c r="A571" s="323" t="s">
        <v>507</v>
      </c>
      <c r="B571" s="316" t="s">
        <v>1497</v>
      </c>
      <c r="C571" s="324" t="s">
        <v>506</v>
      </c>
      <c r="D571" s="324" t="s">
        <v>133</v>
      </c>
      <c r="E571" s="324"/>
      <c r="F571" s="311"/>
      <c r="G571" s="313">
        <f>G572+G576</f>
        <v>5031.17</v>
      </c>
      <c r="H571" s="313">
        <f t="shared" ref="H571" si="327">H572+H576</f>
        <v>5031.1577799999995</v>
      </c>
      <c r="I571" s="337">
        <f t="shared" si="305"/>
        <v>99.999757114150384</v>
      </c>
    </row>
    <row r="572" spans="1:9" s="309" customFormat="1" ht="55.5" customHeight="1" x14ac:dyDescent="0.25">
      <c r="A572" s="320" t="s">
        <v>1496</v>
      </c>
      <c r="B572" s="316" t="s">
        <v>1498</v>
      </c>
      <c r="C572" s="324" t="s">
        <v>506</v>
      </c>
      <c r="D572" s="324" t="s">
        <v>133</v>
      </c>
      <c r="E572" s="324"/>
      <c r="F572" s="311"/>
      <c r="G572" s="313">
        <f>G573</f>
        <v>206.27</v>
      </c>
      <c r="H572" s="313">
        <f t="shared" ref="H572:H573" si="328">H573</f>
        <v>206.25778</v>
      </c>
      <c r="I572" s="337">
        <f t="shared" si="305"/>
        <v>99.9940757259902</v>
      </c>
    </row>
    <row r="573" spans="1:9" s="309" customFormat="1" ht="31.5" x14ac:dyDescent="0.25">
      <c r="A573" s="320" t="s">
        <v>287</v>
      </c>
      <c r="B573" s="316" t="s">
        <v>1498</v>
      </c>
      <c r="C573" s="324" t="s">
        <v>506</v>
      </c>
      <c r="D573" s="324" t="s">
        <v>133</v>
      </c>
      <c r="E573" s="324" t="s">
        <v>288</v>
      </c>
      <c r="F573" s="311"/>
      <c r="G573" s="313">
        <f>G574</f>
        <v>206.27</v>
      </c>
      <c r="H573" s="313">
        <f t="shared" si="328"/>
        <v>206.25778</v>
      </c>
      <c r="I573" s="337">
        <f t="shared" si="305"/>
        <v>99.9940757259902</v>
      </c>
    </row>
    <row r="574" spans="1:9" s="309" customFormat="1" ht="15.75" x14ac:dyDescent="0.25">
      <c r="A574" s="320" t="s">
        <v>289</v>
      </c>
      <c r="B574" s="316" t="s">
        <v>1498</v>
      </c>
      <c r="C574" s="324" t="s">
        <v>506</v>
      </c>
      <c r="D574" s="324" t="s">
        <v>133</v>
      </c>
      <c r="E574" s="324" t="s">
        <v>290</v>
      </c>
      <c r="F574" s="311"/>
      <c r="G574" s="313">
        <f>'Пр.4 ведом.20'!G906</f>
        <v>206.27</v>
      </c>
      <c r="H574" s="313">
        <f>'Пр.4 ведом.20'!H906</f>
        <v>206.25778</v>
      </c>
      <c r="I574" s="337">
        <f t="shared" si="305"/>
        <v>99.9940757259902</v>
      </c>
    </row>
    <row r="575" spans="1:9" s="309" customFormat="1" ht="31.5" x14ac:dyDescent="0.25">
      <c r="A575" s="326" t="s">
        <v>495</v>
      </c>
      <c r="B575" s="316" t="s">
        <v>1498</v>
      </c>
      <c r="C575" s="324" t="s">
        <v>506</v>
      </c>
      <c r="D575" s="324" t="s">
        <v>133</v>
      </c>
      <c r="E575" s="324" t="s">
        <v>290</v>
      </c>
      <c r="F575" s="311">
        <v>907</v>
      </c>
      <c r="G575" s="313">
        <f>G572</f>
        <v>206.27</v>
      </c>
      <c r="H575" s="313">
        <f t="shared" ref="H575" si="329">H572</f>
        <v>206.25778</v>
      </c>
      <c r="I575" s="337">
        <f t="shared" si="305"/>
        <v>99.9940757259902</v>
      </c>
    </row>
    <row r="576" spans="1:9" s="309" customFormat="1" ht="38.25" customHeight="1" x14ac:dyDescent="0.25">
      <c r="A576" s="320" t="s">
        <v>1494</v>
      </c>
      <c r="B576" s="316" t="s">
        <v>1499</v>
      </c>
      <c r="C576" s="324" t="s">
        <v>506</v>
      </c>
      <c r="D576" s="324" t="s">
        <v>133</v>
      </c>
      <c r="E576" s="324"/>
      <c r="F576" s="311"/>
      <c r="G576" s="313">
        <f>G577</f>
        <v>4824.8999999999996</v>
      </c>
      <c r="H576" s="313">
        <f t="shared" ref="H576:H577" si="330">H577</f>
        <v>4824.8999999999996</v>
      </c>
      <c r="I576" s="337">
        <f t="shared" si="305"/>
        <v>100</v>
      </c>
    </row>
    <row r="577" spans="1:9" s="309" customFormat="1" ht="31.5" x14ac:dyDescent="0.25">
      <c r="A577" s="320" t="s">
        <v>287</v>
      </c>
      <c r="B577" s="316" t="s">
        <v>1499</v>
      </c>
      <c r="C577" s="324" t="s">
        <v>506</v>
      </c>
      <c r="D577" s="324" t="s">
        <v>133</v>
      </c>
      <c r="E577" s="324" t="s">
        <v>288</v>
      </c>
      <c r="F577" s="311"/>
      <c r="G577" s="313">
        <f>G578</f>
        <v>4824.8999999999996</v>
      </c>
      <c r="H577" s="313">
        <f t="shared" si="330"/>
        <v>4824.8999999999996</v>
      </c>
      <c r="I577" s="337">
        <f t="shared" si="305"/>
        <v>100</v>
      </c>
    </row>
    <row r="578" spans="1:9" s="309" customFormat="1" ht="15.75" x14ac:dyDescent="0.25">
      <c r="A578" s="320" t="s">
        <v>289</v>
      </c>
      <c r="B578" s="316" t="s">
        <v>1499</v>
      </c>
      <c r="C578" s="324" t="s">
        <v>506</v>
      </c>
      <c r="D578" s="324" t="s">
        <v>133</v>
      </c>
      <c r="E578" s="324" t="s">
        <v>290</v>
      </c>
      <c r="F578" s="311"/>
      <c r="G578" s="313">
        <f>'Пр.4 ведом.20'!G909</f>
        <v>4824.8999999999996</v>
      </c>
      <c r="H578" s="313">
        <f>'Пр.4 ведом.20'!H909</f>
        <v>4824.8999999999996</v>
      </c>
      <c r="I578" s="337">
        <f t="shared" si="305"/>
        <v>100</v>
      </c>
    </row>
    <row r="579" spans="1:9" s="309" customFormat="1" ht="31.5" x14ac:dyDescent="0.25">
      <c r="A579" s="326" t="s">
        <v>495</v>
      </c>
      <c r="B579" s="316" t="s">
        <v>1499</v>
      </c>
      <c r="C579" s="324" t="s">
        <v>506</v>
      </c>
      <c r="D579" s="324" t="s">
        <v>133</v>
      </c>
      <c r="E579" s="324" t="s">
        <v>290</v>
      </c>
      <c r="F579" s="311">
        <v>907</v>
      </c>
      <c r="G579" s="313">
        <f>G576</f>
        <v>4824.8999999999996</v>
      </c>
      <c r="H579" s="313">
        <f t="shared" ref="H579" si="331">H576</f>
        <v>4824.8999999999996</v>
      </c>
      <c r="I579" s="337">
        <f t="shared" si="305"/>
        <v>100</v>
      </c>
    </row>
    <row r="580" spans="1:9" ht="47.25" x14ac:dyDescent="0.25">
      <c r="A580" s="58" t="s">
        <v>516</v>
      </c>
      <c r="B580" s="7" t="s">
        <v>517</v>
      </c>
      <c r="C580" s="40"/>
      <c r="D580" s="40"/>
      <c r="E580" s="7"/>
      <c r="F580" s="206"/>
      <c r="G580" s="4">
        <f>G581</f>
        <v>1354.63</v>
      </c>
      <c r="H580" s="4">
        <f t="shared" ref="H580:H583" si="332">H581</f>
        <v>1354.63</v>
      </c>
      <c r="I580" s="4">
        <f t="shared" si="305"/>
        <v>100</v>
      </c>
    </row>
    <row r="581" spans="1:9" s="210" customFormat="1" ht="31.5" x14ac:dyDescent="0.25">
      <c r="A581" s="58" t="s">
        <v>1084</v>
      </c>
      <c r="B581" s="7" t="s">
        <v>1085</v>
      </c>
      <c r="C581" s="7"/>
      <c r="D581" s="7"/>
      <c r="E581" s="7"/>
      <c r="F581" s="206"/>
      <c r="G581" s="4">
        <f>G582</f>
        <v>1354.63</v>
      </c>
      <c r="H581" s="4">
        <f t="shared" si="332"/>
        <v>1354.63</v>
      </c>
      <c r="I581" s="4">
        <f t="shared" si="305"/>
        <v>100</v>
      </c>
    </row>
    <row r="582" spans="1:9" ht="15.75" x14ac:dyDescent="0.25">
      <c r="A582" s="29" t="s">
        <v>505</v>
      </c>
      <c r="B582" s="40" t="s">
        <v>1085</v>
      </c>
      <c r="C582" s="40" t="s">
        <v>506</v>
      </c>
      <c r="D582" s="40"/>
      <c r="E582" s="40"/>
      <c r="F582" s="5"/>
      <c r="G582" s="6">
        <f>G583</f>
        <v>1354.63</v>
      </c>
      <c r="H582" s="337">
        <f t="shared" si="332"/>
        <v>1354.63</v>
      </c>
      <c r="I582" s="337">
        <f t="shared" si="305"/>
        <v>100</v>
      </c>
    </row>
    <row r="583" spans="1:9" ht="31.5" x14ac:dyDescent="0.25">
      <c r="A583" s="25" t="s">
        <v>515</v>
      </c>
      <c r="B583" s="40" t="s">
        <v>1085</v>
      </c>
      <c r="C583" s="40" t="s">
        <v>506</v>
      </c>
      <c r="D583" s="40" t="s">
        <v>249</v>
      </c>
      <c r="E583" s="40"/>
      <c r="F583" s="5"/>
      <c r="G583" s="6">
        <f>G584</f>
        <v>1354.63</v>
      </c>
      <c r="H583" s="337">
        <f t="shared" si="332"/>
        <v>1354.63</v>
      </c>
      <c r="I583" s="337">
        <f t="shared" si="305"/>
        <v>100</v>
      </c>
    </row>
    <row r="584" spans="1:9" ht="15.75" x14ac:dyDescent="0.25">
      <c r="A584" s="29" t="s">
        <v>1086</v>
      </c>
      <c r="B584" s="40" t="s">
        <v>1234</v>
      </c>
      <c r="C584" s="40" t="s">
        <v>506</v>
      </c>
      <c r="D584" s="40" t="s">
        <v>249</v>
      </c>
      <c r="E584" s="40"/>
      <c r="F584" s="5"/>
      <c r="G584" s="6">
        <f>G585+G588</f>
        <v>1354.63</v>
      </c>
      <c r="H584" s="337">
        <f t="shared" ref="H584" si="333">H585+H588</f>
        <v>1354.63</v>
      </c>
      <c r="I584" s="337">
        <f t="shared" si="305"/>
        <v>100</v>
      </c>
    </row>
    <row r="585" spans="1:9" ht="78.75" x14ac:dyDescent="0.25">
      <c r="A585" s="25" t="s">
        <v>142</v>
      </c>
      <c r="B585" s="40" t="s">
        <v>1234</v>
      </c>
      <c r="C585" s="40" t="s">
        <v>506</v>
      </c>
      <c r="D585" s="40" t="s">
        <v>249</v>
      </c>
      <c r="E585" s="40" t="s">
        <v>143</v>
      </c>
      <c r="F585" s="5"/>
      <c r="G585" s="6">
        <f t="shared" ref="G585:H585" si="334">G586</f>
        <v>530.84000000000015</v>
      </c>
      <c r="H585" s="337">
        <f t="shared" si="334"/>
        <v>530.84</v>
      </c>
      <c r="I585" s="337">
        <f t="shared" si="305"/>
        <v>99.999999999999972</v>
      </c>
    </row>
    <row r="586" spans="1:9" ht="24" customHeight="1" x14ac:dyDescent="0.25">
      <c r="A586" s="25" t="s">
        <v>357</v>
      </c>
      <c r="B586" s="40" t="s">
        <v>1234</v>
      </c>
      <c r="C586" s="40" t="s">
        <v>506</v>
      </c>
      <c r="D586" s="40" t="s">
        <v>249</v>
      </c>
      <c r="E586" s="40" t="s">
        <v>224</v>
      </c>
      <c r="F586" s="5"/>
      <c r="G586" s="6">
        <f>'Пр.4 ведом.20'!G949</f>
        <v>530.84000000000015</v>
      </c>
      <c r="H586" s="337">
        <f>'Пр.4 ведом.20'!H949</f>
        <v>530.84</v>
      </c>
      <c r="I586" s="337">
        <f t="shared" si="305"/>
        <v>99.999999999999972</v>
      </c>
    </row>
    <row r="587" spans="1:9" s="210" customFormat="1" ht="24" customHeight="1" x14ac:dyDescent="0.25">
      <c r="A587" s="70" t="s">
        <v>495</v>
      </c>
      <c r="B587" s="40" t="s">
        <v>1234</v>
      </c>
      <c r="C587" s="40" t="s">
        <v>506</v>
      </c>
      <c r="D587" s="40" t="s">
        <v>249</v>
      </c>
      <c r="E587" s="40" t="s">
        <v>224</v>
      </c>
      <c r="F587" s="5">
        <v>907</v>
      </c>
      <c r="G587" s="10">
        <f>G586</f>
        <v>530.84000000000015</v>
      </c>
      <c r="H587" s="313">
        <f t="shared" ref="H587" si="335">H586</f>
        <v>530.84</v>
      </c>
      <c r="I587" s="337">
        <f t="shared" si="305"/>
        <v>99.999999999999972</v>
      </c>
    </row>
    <row r="588" spans="1:9" ht="31.5" x14ac:dyDescent="0.25">
      <c r="A588" s="29" t="s">
        <v>146</v>
      </c>
      <c r="B588" s="40" t="s">
        <v>1234</v>
      </c>
      <c r="C588" s="40" t="s">
        <v>506</v>
      </c>
      <c r="D588" s="40" t="s">
        <v>249</v>
      </c>
      <c r="E588" s="40" t="s">
        <v>147</v>
      </c>
      <c r="F588" s="5"/>
      <c r="G588" s="6">
        <f t="shared" ref="G588:H588" si="336">G589</f>
        <v>823.79</v>
      </c>
      <c r="H588" s="337">
        <f t="shared" si="336"/>
        <v>823.79</v>
      </c>
      <c r="I588" s="337">
        <f t="shared" si="305"/>
        <v>100</v>
      </c>
    </row>
    <row r="589" spans="1:9" ht="31.5" x14ac:dyDescent="0.25">
      <c r="A589" s="29" t="s">
        <v>148</v>
      </c>
      <c r="B589" s="40" t="s">
        <v>1234</v>
      </c>
      <c r="C589" s="40" t="s">
        <v>506</v>
      </c>
      <c r="D589" s="40" t="s">
        <v>249</v>
      </c>
      <c r="E589" s="40" t="s">
        <v>149</v>
      </c>
      <c r="F589" s="5"/>
      <c r="G589" s="6">
        <f>'Пр.4 ведом.20'!G951</f>
        <v>823.79</v>
      </c>
      <c r="H589" s="337">
        <f>'Пр.4 ведом.20'!H951</f>
        <v>823.79</v>
      </c>
      <c r="I589" s="337">
        <f t="shared" si="305"/>
        <v>100</v>
      </c>
    </row>
    <row r="590" spans="1:9" ht="31.5" x14ac:dyDescent="0.25">
      <c r="A590" s="70" t="s">
        <v>495</v>
      </c>
      <c r="B590" s="40" t="s">
        <v>1234</v>
      </c>
      <c r="C590" s="40" t="s">
        <v>506</v>
      </c>
      <c r="D590" s="40" t="s">
        <v>249</v>
      </c>
      <c r="E590" s="40" t="s">
        <v>149</v>
      </c>
      <c r="F590" s="5">
        <v>907</v>
      </c>
      <c r="G590" s="10">
        <f>G589</f>
        <v>823.79</v>
      </c>
      <c r="H590" s="313">
        <f t="shared" ref="H590" si="337">H589</f>
        <v>823.79</v>
      </c>
      <c r="I590" s="337">
        <f t="shared" si="305"/>
        <v>100</v>
      </c>
    </row>
    <row r="591" spans="1:9" ht="31.5" x14ac:dyDescent="0.25">
      <c r="A591" s="41" t="s">
        <v>281</v>
      </c>
      <c r="B591" s="7" t="s">
        <v>282</v>
      </c>
      <c r="C591" s="72"/>
      <c r="D591" s="72"/>
      <c r="E591" s="72"/>
      <c r="F591" s="3"/>
      <c r="G591" s="59">
        <f>G592+G645+G699</f>
        <v>70489.422999999995</v>
      </c>
      <c r="H591" s="325">
        <f t="shared" ref="H591" si="338">H592+H645+H699</f>
        <v>69452.509429999991</v>
      </c>
      <c r="I591" s="4">
        <f t="shared" si="305"/>
        <v>98.528979915185289</v>
      </c>
    </row>
    <row r="592" spans="1:9" ht="72.75" customHeight="1" x14ac:dyDescent="0.25">
      <c r="A592" s="41" t="s">
        <v>316</v>
      </c>
      <c r="B592" s="7" t="s">
        <v>317</v>
      </c>
      <c r="C592" s="7"/>
      <c r="D592" s="7"/>
      <c r="E592" s="72"/>
      <c r="F592" s="3"/>
      <c r="G592" s="59">
        <f>G593+G606+G620+G627+G638</f>
        <v>30949.222999999998</v>
      </c>
      <c r="H592" s="325">
        <f t="shared" ref="H592" si="339">H593+H606+H620+H627+H638</f>
        <v>30562.373779999998</v>
      </c>
      <c r="I592" s="4">
        <f t="shared" si="305"/>
        <v>98.750051915681368</v>
      </c>
    </row>
    <row r="593" spans="1:9" s="210" customFormat="1" ht="50.25" customHeight="1" x14ac:dyDescent="0.25">
      <c r="A593" s="23" t="s">
        <v>954</v>
      </c>
      <c r="B593" s="24" t="s">
        <v>955</v>
      </c>
      <c r="C593" s="7"/>
      <c r="D593" s="7"/>
      <c r="E593" s="7"/>
      <c r="F593" s="3"/>
      <c r="G593" s="59">
        <f>G594</f>
        <v>26447.599999999999</v>
      </c>
      <c r="H593" s="325">
        <f t="shared" ref="H593:H595" si="340">H594</f>
        <v>26061.836389999997</v>
      </c>
      <c r="I593" s="4">
        <f t="shared" ref="I593:I656" si="341">H593/G593*100</f>
        <v>98.54140409715815</v>
      </c>
    </row>
    <row r="594" spans="1:9" ht="15.75" x14ac:dyDescent="0.25">
      <c r="A594" s="73" t="s">
        <v>313</v>
      </c>
      <c r="B594" s="40" t="s">
        <v>955</v>
      </c>
      <c r="C594" s="40" t="s">
        <v>314</v>
      </c>
      <c r="D594" s="73"/>
      <c r="E594" s="73"/>
      <c r="F594" s="2"/>
      <c r="G594" s="10">
        <f>G595</f>
        <v>26447.599999999999</v>
      </c>
      <c r="H594" s="313">
        <f t="shared" si="340"/>
        <v>26061.836389999997</v>
      </c>
      <c r="I594" s="337">
        <f t="shared" si="341"/>
        <v>98.54140409715815</v>
      </c>
    </row>
    <row r="595" spans="1:9" ht="15.75" x14ac:dyDescent="0.25">
      <c r="A595" s="73" t="s">
        <v>315</v>
      </c>
      <c r="B595" s="40" t="s">
        <v>955</v>
      </c>
      <c r="C595" s="40" t="s">
        <v>314</v>
      </c>
      <c r="D595" s="40" t="s">
        <v>133</v>
      </c>
      <c r="E595" s="73"/>
      <c r="F595" s="2"/>
      <c r="G595" s="10">
        <f>G596</f>
        <v>26447.599999999999</v>
      </c>
      <c r="H595" s="313">
        <f t="shared" si="340"/>
        <v>26061.836389999997</v>
      </c>
      <c r="I595" s="337">
        <f t="shared" si="341"/>
        <v>98.54140409715815</v>
      </c>
    </row>
    <row r="596" spans="1:9" ht="15.75" x14ac:dyDescent="0.25">
      <c r="A596" s="25" t="s">
        <v>830</v>
      </c>
      <c r="B596" s="20" t="s">
        <v>953</v>
      </c>
      <c r="C596" s="40" t="s">
        <v>314</v>
      </c>
      <c r="D596" s="40" t="s">
        <v>133</v>
      </c>
      <c r="E596" s="40"/>
      <c r="F596" s="2"/>
      <c r="G596" s="10">
        <f>G597+G600+G603</f>
        <v>26447.599999999999</v>
      </c>
      <c r="H596" s="313">
        <f t="shared" ref="H596" si="342">H597+H600+H603</f>
        <v>26061.836389999997</v>
      </c>
      <c r="I596" s="337">
        <f t="shared" si="341"/>
        <v>98.54140409715815</v>
      </c>
    </row>
    <row r="597" spans="1:9" ht="78.75" x14ac:dyDescent="0.25">
      <c r="A597" s="25" t="s">
        <v>142</v>
      </c>
      <c r="B597" s="20" t="s">
        <v>953</v>
      </c>
      <c r="C597" s="40" t="s">
        <v>314</v>
      </c>
      <c r="D597" s="40" t="s">
        <v>133</v>
      </c>
      <c r="E597" s="40" t="s">
        <v>143</v>
      </c>
      <c r="F597" s="2"/>
      <c r="G597" s="10">
        <f>G598</f>
        <v>20682.099999999999</v>
      </c>
      <c r="H597" s="313">
        <f t="shared" ref="H597" si="343">H598</f>
        <v>20671.952399999998</v>
      </c>
      <c r="I597" s="337">
        <f t="shared" si="341"/>
        <v>99.950935349891935</v>
      </c>
    </row>
    <row r="598" spans="1:9" ht="15.75" x14ac:dyDescent="0.25">
      <c r="A598" s="25" t="s">
        <v>223</v>
      </c>
      <c r="B598" s="20" t="s">
        <v>953</v>
      </c>
      <c r="C598" s="40" t="s">
        <v>314</v>
      </c>
      <c r="D598" s="40" t="s">
        <v>133</v>
      </c>
      <c r="E598" s="40" t="s">
        <v>224</v>
      </c>
      <c r="F598" s="2"/>
      <c r="G598" s="10">
        <f>'Пр.4 ведом.20'!G367</f>
        <v>20682.099999999999</v>
      </c>
      <c r="H598" s="313">
        <f>'Пр.4 ведом.20'!H367</f>
        <v>20671.952399999998</v>
      </c>
      <c r="I598" s="337">
        <f t="shared" si="341"/>
        <v>99.950935349891935</v>
      </c>
    </row>
    <row r="599" spans="1:9" s="210" customFormat="1" ht="47.25" x14ac:dyDescent="0.25">
      <c r="A599" s="25" t="s">
        <v>1267</v>
      </c>
      <c r="B599" s="20" t="s">
        <v>953</v>
      </c>
      <c r="C599" s="40" t="s">
        <v>314</v>
      </c>
      <c r="D599" s="40" t="s">
        <v>133</v>
      </c>
      <c r="E599" s="40" t="s">
        <v>224</v>
      </c>
      <c r="F599" s="2">
        <v>903</v>
      </c>
      <c r="G599" s="10">
        <f>G598</f>
        <v>20682.099999999999</v>
      </c>
      <c r="H599" s="313">
        <f t="shared" ref="H599" si="344">H598</f>
        <v>20671.952399999998</v>
      </c>
      <c r="I599" s="337">
        <f t="shared" si="341"/>
        <v>99.950935349891935</v>
      </c>
    </row>
    <row r="600" spans="1:9" ht="31.5" x14ac:dyDescent="0.25">
      <c r="A600" s="25" t="s">
        <v>146</v>
      </c>
      <c r="B600" s="20" t="s">
        <v>953</v>
      </c>
      <c r="C600" s="40" t="s">
        <v>314</v>
      </c>
      <c r="D600" s="40" t="s">
        <v>133</v>
      </c>
      <c r="E600" s="40" t="s">
        <v>147</v>
      </c>
      <c r="F600" s="2"/>
      <c r="G600" s="10">
        <f>G601</f>
        <v>5634.7</v>
      </c>
      <c r="H600" s="313">
        <f t="shared" ref="H600" si="345">H601</f>
        <v>5259.1719999999996</v>
      </c>
      <c r="I600" s="337">
        <f t="shared" si="341"/>
        <v>93.33543933128648</v>
      </c>
    </row>
    <row r="601" spans="1:9" ht="31.5" x14ac:dyDescent="0.25">
      <c r="A601" s="25" t="s">
        <v>148</v>
      </c>
      <c r="B601" s="20" t="s">
        <v>953</v>
      </c>
      <c r="C601" s="40" t="s">
        <v>314</v>
      </c>
      <c r="D601" s="40" t="s">
        <v>133</v>
      </c>
      <c r="E601" s="40" t="s">
        <v>149</v>
      </c>
      <c r="F601" s="2"/>
      <c r="G601" s="10">
        <f>'Пр.4 ведом.20'!G369</f>
        <v>5634.7</v>
      </c>
      <c r="H601" s="313">
        <f>'Пр.4 ведом.20'!H369</f>
        <v>5259.1719999999996</v>
      </c>
      <c r="I601" s="337">
        <f t="shared" si="341"/>
        <v>93.33543933128648</v>
      </c>
    </row>
    <row r="602" spans="1:9" s="210" customFormat="1" ht="47.25" x14ac:dyDescent="0.25">
      <c r="A602" s="25" t="s">
        <v>1267</v>
      </c>
      <c r="B602" s="20" t="s">
        <v>953</v>
      </c>
      <c r="C602" s="40" t="s">
        <v>314</v>
      </c>
      <c r="D602" s="40" t="s">
        <v>133</v>
      </c>
      <c r="E602" s="40" t="s">
        <v>149</v>
      </c>
      <c r="F602" s="2">
        <v>903</v>
      </c>
      <c r="G602" s="10">
        <f>G601</f>
        <v>5634.7</v>
      </c>
      <c r="H602" s="313">
        <f t="shared" ref="H602" si="346">H601</f>
        <v>5259.1719999999996</v>
      </c>
      <c r="I602" s="337">
        <f t="shared" si="341"/>
        <v>93.33543933128648</v>
      </c>
    </row>
    <row r="603" spans="1:9" ht="15.75" customHeight="1" x14ac:dyDescent="0.25">
      <c r="A603" s="25" t="s">
        <v>150</v>
      </c>
      <c r="B603" s="20" t="s">
        <v>953</v>
      </c>
      <c r="C603" s="40" t="s">
        <v>314</v>
      </c>
      <c r="D603" s="40" t="s">
        <v>133</v>
      </c>
      <c r="E603" s="40" t="s">
        <v>160</v>
      </c>
      <c r="F603" s="2"/>
      <c r="G603" s="10">
        <f>G604</f>
        <v>130.80000000000001</v>
      </c>
      <c r="H603" s="313">
        <f t="shared" ref="H603" si="347">H604</f>
        <v>130.71198999999999</v>
      </c>
      <c r="I603" s="337">
        <f t="shared" si="341"/>
        <v>99.932714067278269</v>
      </c>
    </row>
    <row r="604" spans="1:9" ht="15.75" customHeight="1" x14ac:dyDescent="0.25">
      <c r="A604" s="25" t="s">
        <v>152</v>
      </c>
      <c r="B604" s="20" t="s">
        <v>953</v>
      </c>
      <c r="C604" s="40" t="s">
        <v>314</v>
      </c>
      <c r="D604" s="40" t="s">
        <v>133</v>
      </c>
      <c r="E604" s="40" t="s">
        <v>153</v>
      </c>
      <c r="F604" s="2"/>
      <c r="G604" s="10">
        <f>'Пр.4 ведом.20'!G371</f>
        <v>130.80000000000001</v>
      </c>
      <c r="H604" s="313">
        <f>'Пр.4 ведом.20'!H371</f>
        <v>130.71198999999999</v>
      </c>
      <c r="I604" s="337">
        <f t="shared" si="341"/>
        <v>99.932714067278269</v>
      </c>
    </row>
    <row r="605" spans="1:9" s="210" customFormat="1" ht="50.25" customHeight="1" x14ac:dyDescent="0.25">
      <c r="A605" s="25" t="s">
        <v>1267</v>
      </c>
      <c r="B605" s="20" t="s">
        <v>953</v>
      </c>
      <c r="C605" s="40" t="s">
        <v>314</v>
      </c>
      <c r="D605" s="40" t="s">
        <v>133</v>
      </c>
      <c r="E605" s="40" t="s">
        <v>153</v>
      </c>
      <c r="F605" s="2">
        <v>903</v>
      </c>
      <c r="G605" s="10">
        <f>G604</f>
        <v>130.80000000000001</v>
      </c>
      <c r="H605" s="313">
        <f t="shared" ref="H605" si="348">H604</f>
        <v>130.71198999999999</v>
      </c>
      <c r="I605" s="337">
        <f t="shared" si="341"/>
        <v>99.932714067278269</v>
      </c>
    </row>
    <row r="606" spans="1:9" s="210" customFormat="1" ht="31.7" customHeight="1" x14ac:dyDescent="0.25">
      <c r="A606" s="222" t="s">
        <v>968</v>
      </c>
      <c r="B606" s="24" t="s">
        <v>956</v>
      </c>
      <c r="C606" s="7"/>
      <c r="D606" s="7"/>
      <c r="E606" s="7"/>
      <c r="F606" s="3"/>
      <c r="G606" s="59">
        <f>G609+G613+G616</f>
        <v>2011</v>
      </c>
      <c r="H606" s="325">
        <f t="shared" ref="H606" si="349">H609+H613+H616</f>
        <v>2010.8979999999999</v>
      </c>
      <c r="I606" s="4">
        <f t="shared" si="341"/>
        <v>99.994927896568868</v>
      </c>
    </row>
    <row r="607" spans="1:9" s="210" customFormat="1" ht="16.5" customHeight="1" x14ac:dyDescent="0.25">
      <c r="A607" s="73" t="s">
        <v>313</v>
      </c>
      <c r="B607" s="40" t="s">
        <v>956</v>
      </c>
      <c r="C607" s="40" t="s">
        <v>314</v>
      </c>
      <c r="D607" s="73"/>
      <c r="E607" s="73"/>
      <c r="F607" s="2"/>
      <c r="G607" s="10">
        <f>G608</f>
        <v>1511</v>
      </c>
      <c r="H607" s="313">
        <f t="shared" ref="H607" si="350">H608</f>
        <v>1510.8979999999999</v>
      </c>
      <c r="I607" s="337">
        <f t="shared" si="341"/>
        <v>99.993249503639973</v>
      </c>
    </row>
    <row r="608" spans="1:9" s="210" customFormat="1" ht="16.5" customHeight="1" x14ac:dyDescent="0.25">
      <c r="A608" s="73" t="s">
        <v>315</v>
      </c>
      <c r="B608" s="40" t="s">
        <v>956</v>
      </c>
      <c r="C608" s="40" t="s">
        <v>314</v>
      </c>
      <c r="D608" s="40" t="s">
        <v>133</v>
      </c>
      <c r="E608" s="73"/>
      <c r="F608" s="2"/>
      <c r="G608" s="10">
        <f>G609+G613</f>
        <v>1511</v>
      </c>
      <c r="H608" s="313">
        <f t="shared" ref="H608" si="351">H609+H613</f>
        <v>1510.8979999999999</v>
      </c>
      <c r="I608" s="337">
        <f t="shared" si="341"/>
        <v>99.993249503639973</v>
      </c>
    </row>
    <row r="609" spans="1:9" s="210" customFormat="1" ht="41.25" customHeight="1" x14ac:dyDescent="0.25">
      <c r="A609" s="31" t="s">
        <v>858</v>
      </c>
      <c r="B609" s="20" t="s">
        <v>957</v>
      </c>
      <c r="C609" s="40" t="s">
        <v>314</v>
      </c>
      <c r="D609" s="40" t="s">
        <v>133</v>
      </c>
      <c r="E609" s="40"/>
      <c r="F609" s="2"/>
      <c r="G609" s="10">
        <f>G610</f>
        <v>135.39999999999998</v>
      </c>
      <c r="H609" s="313">
        <f t="shared" ref="H609:H610" si="352">H610</f>
        <v>135.36799999999999</v>
      </c>
      <c r="I609" s="337">
        <f t="shared" si="341"/>
        <v>99.976366322008886</v>
      </c>
    </row>
    <row r="610" spans="1:9" s="210" customFormat="1" ht="83.25" customHeight="1" x14ac:dyDescent="0.25">
      <c r="A610" s="25" t="s">
        <v>142</v>
      </c>
      <c r="B610" s="20" t="s">
        <v>957</v>
      </c>
      <c r="C610" s="40" t="s">
        <v>314</v>
      </c>
      <c r="D610" s="40" t="s">
        <v>133</v>
      </c>
      <c r="E610" s="40" t="s">
        <v>143</v>
      </c>
      <c r="F610" s="2"/>
      <c r="G610" s="10">
        <f>G611</f>
        <v>135.39999999999998</v>
      </c>
      <c r="H610" s="313">
        <f t="shared" si="352"/>
        <v>135.36799999999999</v>
      </c>
      <c r="I610" s="337">
        <f t="shared" si="341"/>
        <v>99.976366322008886</v>
      </c>
    </row>
    <row r="611" spans="1:9" s="210" customFormat="1" ht="15.75" customHeight="1" x14ac:dyDescent="0.25">
      <c r="A611" s="25" t="s">
        <v>223</v>
      </c>
      <c r="B611" s="20" t="s">
        <v>957</v>
      </c>
      <c r="C611" s="40" t="s">
        <v>314</v>
      </c>
      <c r="D611" s="40" t="s">
        <v>133</v>
      </c>
      <c r="E611" s="40" t="s">
        <v>224</v>
      </c>
      <c r="F611" s="2"/>
      <c r="G611" s="10">
        <f>'Пр.3 Рд,пр, ЦС,ВР 20'!F868</f>
        <v>135.39999999999998</v>
      </c>
      <c r="H611" s="313">
        <f>'Пр.3 Рд,пр, ЦС,ВР 20'!G868</f>
        <v>135.36799999999999</v>
      </c>
      <c r="I611" s="337">
        <f t="shared" si="341"/>
        <v>99.976366322008886</v>
      </c>
    </row>
    <row r="612" spans="1:9" s="210" customFormat="1" ht="15.75" customHeight="1" x14ac:dyDescent="0.25">
      <c r="A612" s="25" t="s">
        <v>1267</v>
      </c>
      <c r="B612" s="20" t="s">
        <v>957</v>
      </c>
      <c r="C612" s="40" t="s">
        <v>314</v>
      </c>
      <c r="D612" s="40" t="s">
        <v>133</v>
      </c>
      <c r="E612" s="40" t="s">
        <v>224</v>
      </c>
      <c r="F612" s="2">
        <v>903</v>
      </c>
      <c r="G612" s="10">
        <f>G611</f>
        <v>135.39999999999998</v>
      </c>
      <c r="H612" s="313">
        <f t="shared" ref="H612" si="353">H611</f>
        <v>135.36799999999999</v>
      </c>
      <c r="I612" s="337">
        <f t="shared" si="341"/>
        <v>99.976366322008886</v>
      </c>
    </row>
    <row r="613" spans="1:9" s="210" customFormat="1" ht="40.700000000000003" customHeight="1" x14ac:dyDescent="0.25">
      <c r="A613" s="25" t="s">
        <v>146</v>
      </c>
      <c r="B613" s="20" t="s">
        <v>957</v>
      </c>
      <c r="C613" s="40" t="s">
        <v>314</v>
      </c>
      <c r="D613" s="40" t="s">
        <v>133</v>
      </c>
      <c r="E613" s="40" t="s">
        <v>147</v>
      </c>
      <c r="F613" s="2"/>
      <c r="G613" s="10">
        <f>G614</f>
        <v>1375.6</v>
      </c>
      <c r="H613" s="313">
        <f t="shared" ref="H613" si="354">H614</f>
        <v>1375.53</v>
      </c>
      <c r="I613" s="337">
        <f t="shared" si="341"/>
        <v>99.994911311427742</v>
      </c>
    </row>
    <row r="614" spans="1:9" s="210" customFormat="1" ht="40.700000000000003" customHeight="1" x14ac:dyDescent="0.25">
      <c r="A614" s="25" t="s">
        <v>148</v>
      </c>
      <c r="B614" s="20" t="s">
        <v>957</v>
      </c>
      <c r="C614" s="40" t="s">
        <v>314</v>
      </c>
      <c r="D614" s="40" t="s">
        <v>133</v>
      </c>
      <c r="E614" s="40" t="s">
        <v>149</v>
      </c>
      <c r="F614" s="2"/>
      <c r="G614" s="10">
        <f>'Пр.3 Рд,пр, ЦС,ВР 20'!F870</f>
        <v>1375.6</v>
      </c>
      <c r="H614" s="313">
        <f>'Пр.3 Рд,пр, ЦС,ВР 20'!G870</f>
        <v>1375.53</v>
      </c>
      <c r="I614" s="337">
        <f t="shared" si="341"/>
        <v>99.994911311427742</v>
      </c>
    </row>
    <row r="615" spans="1:9" s="210" customFormat="1" ht="46.5" customHeight="1" x14ac:dyDescent="0.25">
      <c r="A615" s="25" t="s">
        <v>1267</v>
      </c>
      <c r="B615" s="20" t="s">
        <v>957</v>
      </c>
      <c r="C615" s="40" t="s">
        <v>314</v>
      </c>
      <c r="D615" s="40" t="s">
        <v>133</v>
      </c>
      <c r="E615" s="40" t="s">
        <v>149</v>
      </c>
      <c r="F615" s="2">
        <v>903</v>
      </c>
      <c r="G615" s="10">
        <f>G614</f>
        <v>1375.6</v>
      </c>
      <c r="H615" s="313">
        <f t="shared" ref="H615" si="355">H614</f>
        <v>1375.53</v>
      </c>
      <c r="I615" s="337">
        <f t="shared" si="341"/>
        <v>99.994911311427742</v>
      </c>
    </row>
    <row r="616" spans="1:9" s="345" customFormat="1" ht="46.5" customHeight="1" x14ac:dyDescent="0.25">
      <c r="A616" s="349" t="s">
        <v>1579</v>
      </c>
      <c r="B616" s="347" t="s">
        <v>1577</v>
      </c>
      <c r="C616" s="324" t="s">
        <v>314</v>
      </c>
      <c r="D616" s="324" t="s">
        <v>133</v>
      </c>
      <c r="E616" s="324"/>
      <c r="F616" s="2"/>
      <c r="G616" s="313">
        <f>G617</f>
        <v>500</v>
      </c>
      <c r="H616" s="313">
        <f t="shared" ref="H616:H617" si="356">H617</f>
        <v>500</v>
      </c>
      <c r="I616" s="337">
        <f t="shared" si="341"/>
        <v>100</v>
      </c>
    </row>
    <row r="617" spans="1:9" s="345" customFormat="1" ht="46.5" customHeight="1" x14ac:dyDescent="0.25">
      <c r="A617" s="349" t="s">
        <v>146</v>
      </c>
      <c r="B617" s="347" t="s">
        <v>1577</v>
      </c>
      <c r="C617" s="324" t="s">
        <v>314</v>
      </c>
      <c r="D617" s="324" t="s">
        <v>133</v>
      </c>
      <c r="E617" s="324" t="s">
        <v>147</v>
      </c>
      <c r="F617" s="2"/>
      <c r="G617" s="313">
        <f>G618</f>
        <v>500</v>
      </c>
      <c r="H617" s="313">
        <f t="shared" si="356"/>
        <v>500</v>
      </c>
      <c r="I617" s="337">
        <f t="shared" si="341"/>
        <v>100</v>
      </c>
    </row>
    <row r="618" spans="1:9" s="345" customFormat="1" ht="46.5" customHeight="1" x14ac:dyDescent="0.25">
      <c r="A618" s="349" t="s">
        <v>148</v>
      </c>
      <c r="B618" s="347" t="s">
        <v>1577</v>
      </c>
      <c r="C618" s="324" t="s">
        <v>314</v>
      </c>
      <c r="D618" s="324" t="s">
        <v>133</v>
      </c>
      <c r="E618" s="324" t="s">
        <v>149</v>
      </c>
      <c r="F618" s="2"/>
      <c r="G618" s="313">
        <f>'Пр.4 ведом.20'!G380</f>
        <v>500</v>
      </c>
      <c r="H618" s="313">
        <f>'Пр.4 ведом.20'!H380</f>
        <v>500</v>
      </c>
      <c r="I618" s="337">
        <f t="shared" si="341"/>
        <v>100</v>
      </c>
    </row>
    <row r="619" spans="1:9" s="345" customFormat="1" ht="46.5" customHeight="1" x14ac:dyDescent="0.25">
      <c r="A619" s="349" t="s">
        <v>1267</v>
      </c>
      <c r="B619" s="347" t="s">
        <v>1577</v>
      </c>
      <c r="C619" s="324" t="s">
        <v>314</v>
      </c>
      <c r="D619" s="324" t="s">
        <v>133</v>
      </c>
      <c r="E619" s="324" t="s">
        <v>149</v>
      </c>
      <c r="F619" s="2">
        <v>903</v>
      </c>
      <c r="G619" s="313">
        <f>G618</f>
        <v>500</v>
      </c>
      <c r="H619" s="313">
        <f t="shared" ref="H619" si="357">H618</f>
        <v>500</v>
      </c>
      <c r="I619" s="337">
        <f t="shared" si="341"/>
        <v>100</v>
      </c>
    </row>
    <row r="620" spans="1:9" s="210" customFormat="1" ht="35.450000000000003" customHeight="1" x14ac:dyDescent="0.25">
      <c r="A620" s="23" t="s">
        <v>1074</v>
      </c>
      <c r="B620" s="24" t="s">
        <v>1162</v>
      </c>
      <c r="C620" s="7"/>
      <c r="D620" s="7"/>
      <c r="E620" s="7"/>
      <c r="F620" s="3"/>
      <c r="G620" s="59">
        <f>G623</f>
        <v>335.4</v>
      </c>
      <c r="H620" s="325">
        <f t="shared" ref="H620" si="358">H623</f>
        <v>335.37941000000001</v>
      </c>
      <c r="I620" s="4">
        <f t="shared" si="341"/>
        <v>99.99386106141921</v>
      </c>
    </row>
    <row r="621" spans="1:9" s="210" customFormat="1" ht="16.5" customHeight="1" x14ac:dyDescent="0.25">
      <c r="A621" s="73" t="s">
        <v>313</v>
      </c>
      <c r="B621" s="40" t="s">
        <v>1162</v>
      </c>
      <c r="C621" s="40" t="s">
        <v>314</v>
      </c>
      <c r="D621" s="73"/>
      <c r="E621" s="73"/>
      <c r="F621" s="2"/>
      <c r="G621" s="10">
        <f>G622</f>
        <v>1159.6999999999998</v>
      </c>
      <c r="H621" s="313">
        <f t="shared" ref="H621" si="359">H622</f>
        <v>1158.7323999999999</v>
      </c>
      <c r="I621" s="337">
        <f t="shared" si="341"/>
        <v>99.916564628783306</v>
      </c>
    </row>
    <row r="622" spans="1:9" s="210" customFormat="1" ht="18.75" customHeight="1" x14ac:dyDescent="0.25">
      <c r="A622" s="73" t="s">
        <v>315</v>
      </c>
      <c r="B622" s="40" t="s">
        <v>1162</v>
      </c>
      <c r="C622" s="40" t="s">
        <v>314</v>
      </c>
      <c r="D622" s="40" t="s">
        <v>133</v>
      </c>
      <c r="E622" s="73"/>
      <c r="F622" s="2"/>
      <c r="G622" s="10">
        <f>G623+G627</f>
        <v>1159.6999999999998</v>
      </c>
      <c r="H622" s="313">
        <f t="shared" ref="H622" si="360">H623+H627</f>
        <v>1158.7323999999999</v>
      </c>
      <c r="I622" s="337">
        <f t="shared" si="341"/>
        <v>99.916564628783306</v>
      </c>
    </row>
    <row r="623" spans="1:9" s="210" customFormat="1" ht="43.5" customHeight="1" x14ac:dyDescent="0.25">
      <c r="A623" s="25" t="s">
        <v>883</v>
      </c>
      <c r="B623" s="20" t="s">
        <v>1163</v>
      </c>
      <c r="C623" s="40" t="s">
        <v>314</v>
      </c>
      <c r="D623" s="40" t="s">
        <v>133</v>
      </c>
      <c r="E623" s="40"/>
      <c r="F623" s="2"/>
      <c r="G623" s="10">
        <f>G624</f>
        <v>335.4</v>
      </c>
      <c r="H623" s="313">
        <f t="shared" ref="H623:H624" si="361">H624</f>
        <v>335.37941000000001</v>
      </c>
      <c r="I623" s="337">
        <f t="shared" si="341"/>
        <v>99.99386106141921</v>
      </c>
    </row>
    <row r="624" spans="1:9" s="210" customFormat="1" ht="81" customHeight="1" x14ac:dyDescent="0.25">
      <c r="A624" s="25" t="s">
        <v>142</v>
      </c>
      <c r="B624" s="20" t="s">
        <v>1163</v>
      </c>
      <c r="C624" s="40" t="s">
        <v>314</v>
      </c>
      <c r="D624" s="40" t="s">
        <v>133</v>
      </c>
      <c r="E624" s="40" t="s">
        <v>143</v>
      </c>
      <c r="F624" s="2"/>
      <c r="G624" s="10">
        <f>G625</f>
        <v>335.4</v>
      </c>
      <c r="H624" s="313">
        <f t="shared" si="361"/>
        <v>335.37941000000001</v>
      </c>
      <c r="I624" s="337">
        <f t="shared" si="341"/>
        <v>99.99386106141921</v>
      </c>
    </row>
    <row r="625" spans="1:9" s="210" customFormat="1" ht="38.25" customHeight="1" x14ac:dyDescent="0.25">
      <c r="A625" s="25" t="s">
        <v>144</v>
      </c>
      <c r="B625" s="20" t="s">
        <v>1163</v>
      </c>
      <c r="C625" s="40" t="s">
        <v>314</v>
      </c>
      <c r="D625" s="40" t="s">
        <v>133</v>
      </c>
      <c r="E625" s="40" t="s">
        <v>224</v>
      </c>
      <c r="F625" s="2"/>
      <c r="G625" s="10">
        <f>'Пр.3 Рд,пр, ЦС,ВР 20'!F877</f>
        <v>335.4</v>
      </c>
      <c r="H625" s="313">
        <f>'Пр.3 Рд,пр, ЦС,ВР 20'!G877</f>
        <v>335.37941000000001</v>
      </c>
      <c r="I625" s="337">
        <f t="shared" si="341"/>
        <v>99.99386106141921</v>
      </c>
    </row>
    <row r="626" spans="1:9" s="210" customFormat="1" ht="47.25" customHeight="1" x14ac:dyDescent="0.25">
      <c r="A626" s="25" t="s">
        <v>1267</v>
      </c>
      <c r="B626" s="20" t="s">
        <v>1163</v>
      </c>
      <c r="C626" s="40" t="s">
        <v>314</v>
      </c>
      <c r="D626" s="40" t="s">
        <v>133</v>
      </c>
      <c r="E626" s="40" t="s">
        <v>224</v>
      </c>
      <c r="F626" s="2">
        <v>903</v>
      </c>
      <c r="G626" s="10">
        <f>G625</f>
        <v>335.4</v>
      </c>
      <c r="H626" s="313">
        <f t="shared" ref="H626" si="362">H625</f>
        <v>335.37941000000001</v>
      </c>
      <c r="I626" s="337">
        <f t="shared" si="341"/>
        <v>99.99386106141921</v>
      </c>
    </row>
    <row r="627" spans="1:9" s="210" customFormat="1" ht="48.2" customHeight="1" x14ac:dyDescent="0.25">
      <c r="A627" s="223" t="s">
        <v>969</v>
      </c>
      <c r="B627" s="24" t="s">
        <v>1164</v>
      </c>
      <c r="C627" s="7"/>
      <c r="D627" s="7"/>
      <c r="E627" s="7"/>
      <c r="F627" s="3"/>
      <c r="G627" s="59">
        <f>G634+G630</f>
        <v>824.3</v>
      </c>
      <c r="H627" s="325">
        <f t="shared" ref="H627" si="363">H634+H630</f>
        <v>823.35298999999998</v>
      </c>
      <c r="I627" s="4">
        <f t="shared" si="341"/>
        <v>99.885113429576606</v>
      </c>
    </row>
    <row r="628" spans="1:9" s="210" customFormat="1" ht="17.45" customHeight="1" x14ac:dyDescent="0.25">
      <c r="A628" s="73" t="s">
        <v>313</v>
      </c>
      <c r="B628" s="40" t="s">
        <v>1164</v>
      </c>
      <c r="C628" s="40" t="s">
        <v>314</v>
      </c>
      <c r="D628" s="73"/>
      <c r="E628" s="73"/>
      <c r="F628" s="2"/>
      <c r="G628" s="10">
        <f>G629</f>
        <v>824.3</v>
      </c>
      <c r="H628" s="313">
        <f t="shared" ref="H628" si="364">H629</f>
        <v>823.35298999999998</v>
      </c>
      <c r="I628" s="337">
        <f t="shared" si="341"/>
        <v>99.885113429576606</v>
      </c>
    </row>
    <row r="629" spans="1:9" s="210" customFormat="1" ht="18" customHeight="1" x14ac:dyDescent="0.25">
      <c r="A629" s="73" t="s">
        <v>315</v>
      </c>
      <c r="B629" s="40" t="s">
        <v>1164</v>
      </c>
      <c r="C629" s="40" t="s">
        <v>314</v>
      </c>
      <c r="D629" s="40" t="s">
        <v>133</v>
      </c>
      <c r="E629" s="73"/>
      <c r="F629" s="2"/>
      <c r="G629" s="10">
        <f>G634+G630</f>
        <v>824.3</v>
      </c>
      <c r="H629" s="313">
        <f t="shared" ref="H629" si="365">H634+H630</f>
        <v>823.35298999999998</v>
      </c>
      <c r="I629" s="337">
        <f t="shared" si="341"/>
        <v>99.885113429576606</v>
      </c>
    </row>
    <row r="630" spans="1:9" s="309" customFormat="1" ht="94.5" x14ac:dyDescent="0.25">
      <c r="A630" s="31" t="s">
        <v>308</v>
      </c>
      <c r="B630" s="316" t="s">
        <v>1511</v>
      </c>
      <c r="C630" s="324" t="s">
        <v>314</v>
      </c>
      <c r="D630" s="324" t="s">
        <v>133</v>
      </c>
      <c r="E630" s="328"/>
      <c r="F630" s="2"/>
      <c r="G630" s="313">
        <f>G631</f>
        <v>749.3</v>
      </c>
      <c r="H630" s="313">
        <f t="shared" ref="H630:H631" si="366">H631</f>
        <v>748.35298999999998</v>
      </c>
      <c r="I630" s="337">
        <f t="shared" si="341"/>
        <v>99.873614039770459</v>
      </c>
    </row>
    <row r="631" spans="1:9" s="309" customFormat="1" ht="78.75" x14ac:dyDescent="0.25">
      <c r="A631" s="320" t="s">
        <v>142</v>
      </c>
      <c r="B631" s="316" t="s">
        <v>1511</v>
      </c>
      <c r="C631" s="324" t="s">
        <v>314</v>
      </c>
      <c r="D631" s="324" t="s">
        <v>133</v>
      </c>
      <c r="E631" s="324">
        <v>100</v>
      </c>
      <c r="F631" s="324"/>
      <c r="G631" s="313">
        <f>G632</f>
        <v>749.3</v>
      </c>
      <c r="H631" s="313">
        <f t="shared" si="366"/>
        <v>748.35298999999998</v>
      </c>
      <c r="I631" s="337">
        <f t="shared" si="341"/>
        <v>99.873614039770459</v>
      </c>
    </row>
    <row r="632" spans="1:9" s="309" customFormat="1" ht="18" customHeight="1" x14ac:dyDescent="0.25">
      <c r="A632" s="320" t="s">
        <v>223</v>
      </c>
      <c r="B632" s="316" t="s">
        <v>1511</v>
      </c>
      <c r="C632" s="324" t="s">
        <v>314</v>
      </c>
      <c r="D632" s="324" t="s">
        <v>133</v>
      </c>
      <c r="E632" s="324">
        <v>110</v>
      </c>
      <c r="F632" s="324"/>
      <c r="G632" s="313">
        <f>'Пр.3 Рд,пр, ЦС,ВР 20'!F881</f>
        <v>749.3</v>
      </c>
      <c r="H632" s="313">
        <f>'Пр.3 Рд,пр, ЦС,ВР 20'!G881</f>
        <v>748.35298999999998</v>
      </c>
      <c r="I632" s="337">
        <f t="shared" si="341"/>
        <v>99.873614039770459</v>
      </c>
    </row>
    <row r="633" spans="1:9" s="309" customFormat="1" ht="47.25" x14ac:dyDescent="0.25">
      <c r="A633" s="320" t="s">
        <v>1267</v>
      </c>
      <c r="B633" s="316" t="s">
        <v>1511</v>
      </c>
      <c r="C633" s="324" t="s">
        <v>314</v>
      </c>
      <c r="D633" s="324" t="s">
        <v>133</v>
      </c>
      <c r="E633" s="324">
        <v>110</v>
      </c>
      <c r="F633" s="324" t="s">
        <v>642</v>
      </c>
      <c r="G633" s="313">
        <f>G630</f>
        <v>749.3</v>
      </c>
      <c r="H633" s="313">
        <f t="shared" ref="H633" si="367">H630</f>
        <v>748.35298999999998</v>
      </c>
      <c r="I633" s="337">
        <f t="shared" si="341"/>
        <v>99.873614039770459</v>
      </c>
    </row>
    <row r="634" spans="1:9" s="210" customFormat="1" ht="100.5" customHeight="1" x14ac:dyDescent="0.25">
      <c r="A634" s="31" t="s">
        <v>308</v>
      </c>
      <c r="B634" s="20" t="s">
        <v>1165</v>
      </c>
      <c r="C634" s="40" t="s">
        <v>314</v>
      </c>
      <c r="D634" s="40" t="s">
        <v>133</v>
      </c>
      <c r="E634" s="40"/>
      <c r="F634" s="2"/>
      <c r="G634" s="10">
        <f>G635</f>
        <v>75</v>
      </c>
      <c r="H634" s="313">
        <f t="shared" ref="H634:H635" si="368">H635</f>
        <v>75</v>
      </c>
      <c r="I634" s="337">
        <f t="shared" si="341"/>
        <v>100</v>
      </c>
    </row>
    <row r="635" spans="1:9" s="210" customFormat="1" ht="82.5" customHeight="1" x14ac:dyDescent="0.25">
      <c r="A635" s="25" t="s">
        <v>142</v>
      </c>
      <c r="B635" s="20" t="s">
        <v>1165</v>
      </c>
      <c r="C635" s="40" t="s">
        <v>314</v>
      </c>
      <c r="D635" s="40" t="s">
        <v>133</v>
      </c>
      <c r="E635" s="40" t="s">
        <v>143</v>
      </c>
      <c r="F635" s="2"/>
      <c r="G635" s="10">
        <f>G636</f>
        <v>75</v>
      </c>
      <c r="H635" s="313">
        <f t="shared" si="368"/>
        <v>75</v>
      </c>
      <c r="I635" s="337">
        <f t="shared" si="341"/>
        <v>100</v>
      </c>
    </row>
    <row r="636" spans="1:9" s="210" customFormat="1" ht="15.75" customHeight="1" x14ac:dyDescent="0.25">
      <c r="A636" s="25" t="s">
        <v>223</v>
      </c>
      <c r="B636" s="20" t="s">
        <v>1165</v>
      </c>
      <c r="C636" s="40" t="s">
        <v>314</v>
      </c>
      <c r="D636" s="40" t="s">
        <v>133</v>
      </c>
      <c r="E636" s="40" t="s">
        <v>224</v>
      </c>
      <c r="F636" s="2"/>
      <c r="G636" s="10">
        <f>'Пр.3 Рд,пр, ЦС,ВР 20'!F884</f>
        <v>75</v>
      </c>
      <c r="H636" s="313">
        <f>'Пр.3 Рд,пр, ЦС,ВР 20'!G884</f>
        <v>75</v>
      </c>
      <c r="I636" s="337">
        <f t="shared" si="341"/>
        <v>100</v>
      </c>
    </row>
    <row r="637" spans="1:9" s="210" customFormat="1" ht="53.45" customHeight="1" x14ac:dyDescent="0.25">
      <c r="A637" s="25" t="s">
        <v>1267</v>
      </c>
      <c r="B637" s="20" t="s">
        <v>1165</v>
      </c>
      <c r="C637" s="40" t="s">
        <v>314</v>
      </c>
      <c r="D637" s="40" t="s">
        <v>133</v>
      </c>
      <c r="E637" s="40" t="s">
        <v>224</v>
      </c>
      <c r="F637" s="2">
        <v>903</v>
      </c>
      <c r="G637" s="10">
        <f>G636</f>
        <v>75</v>
      </c>
      <c r="H637" s="313">
        <f t="shared" ref="H637" si="369">H636</f>
        <v>75</v>
      </c>
      <c r="I637" s="337">
        <f t="shared" si="341"/>
        <v>100</v>
      </c>
    </row>
    <row r="638" spans="1:9" s="210" customFormat="1" ht="41.25" customHeight="1" x14ac:dyDescent="0.25">
      <c r="A638" s="270" t="s">
        <v>1396</v>
      </c>
      <c r="B638" s="24" t="s">
        <v>1397</v>
      </c>
      <c r="C638" s="24"/>
      <c r="D638" s="24"/>
      <c r="E638" s="40"/>
      <c r="F638" s="2"/>
      <c r="G638" s="59">
        <f>G641</f>
        <v>1330.923</v>
      </c>
      <c r="H638" s="325">
        <f t="shared" ref="H638" si="370">H641</f>
        <v>1330.90699</v>
      </c>
      <c r="I638" s="4">
        <f t="shared" si="341"/>
        <v>99.998797075413066</v>
      </c>
    </row>
    <row r="639" spans="1:9" s="210" customFormat="1" ht="19.5" customHeight="1" x14ac:dyDescent="0.25">
      <c r="A639" s="68" t="s">
        <v>313</v>
      </c>
      <c r="B639" s="20" t="s">
        <v>1397</v>
      </c>
      <c r="C639" s="20" t="s">
        <v>314</v>
      </c>
      <c r="D639" s="20"/>
      <c r="E639" s="40"/>
      <c r="F639" s="2"/>
      <c r="G639" s="10">
        <f>G640</f>
        <v>1330.923</v>
      </c>
      <c r="H639" s="313">
        <f t="shared" ref="H639:H642" si="371">H640</f>
        <v>1330.90699</v>
      </c>
      <c r="I639" s="337">
        <f t="shared" si="341"/>
        <v>99.998797075413066</v>
      </c>
    </row>
    <row r="640" spans="1:9" s="210" customFormat="1" ht="18" customHeight="1" x14ac:dyDescent="0.25">
      <c r="A640" s="68" t="s">
        <v>315</v>
      </c>
      <c r="B640" s="20" t="s">
        <v>1397</v>
      </c>
      <c r="C640" s="20" t="s">
        <v>314</v>
      </c>
      <c r="D640" s="20" t="s">
        <v>133</v>
      </c>
      <c r="E640" s="40"/>
      <c r="F640" s="2"/>
      <c r="G640" s="10">
        <f>G641</f>
        <v>1330.923</v>
      </c>
      <c r="H640" s="313">
        <f t="shared" si="371"/>
        <v>1330.90699</v>
      </c>
      <c r="I640" s="337">
        <f t="shared" si="341"/>
        <v>99.998797075413066</v>
      </c>
    </row>
    <row r="641" spans="1:9" s="210" customFormat="1" ht="49.7" customHeight="1" x14ac:dyDescent="0.25">
      <c r="A641" s="271" t="s">
        <v>1398</v>
      </c>
      <c r="B641" s="20" t="s">
        <v>1399</v>
      </c>
      <c r="C641" s="20" t="s">
        <v>314</v>
      </c>
      <c r="D641" s="20" t="s">
        <v>133</v>
      </c>
      <c r="E641" s="40"/>
      <c r="F641" s="2"/>
      <c r="G641" s="10">
        <f>G642</f>
        <v>1330.923</v>
      </c>
      <c r="H641" s="313">
        <f t="shared" si="371"/>
        <v>1330.90699</v>
      </c>
      <c r="I641" s="337">
        <f t="shared" si="341"/>
        <v>99.998797075413066</v>
      </c>
    </row>
    <row r="642" spans="1:9" s="210" customFormat="1" ht="35.450000000000003" customHeight="1" x14ac:dyDescent="0.25">
      <c r="A642" s="25" t="s">
        <v>146</v>
      </c>
      <c r="B642" s="20" t="s">
        <v>1399</v>
      </c>
      <c r="C642" s="20" t="s">
        <v>314</v>
      </c>
      <c r="D642" s="20" t="s">
        <v>133</v>
      </c>
      <c r="E642" s="40" t="s">
        <v>147</v>
      </c>
      <c r="F642" s="2"/>
      <c r="G642" s="10">
        <f>G643</f>
        <v>1330.923</v>
      </c>
      <c r="H642" s="313">
        <f t="shared" si="371"/>
        <v>1330.90699</v>
      </c>
      <c r="I642" s="337">
        <f t="shared" si="341"/>
        <v>99.998797075413066</v>
      </c>
    </row>
    <row r="643" spans="1:9" s="210" customFormat="1" ht="36" customHeight="1" x14ac:dyDescent="0.25">
      <c r="A643" s="25" t="s">
        <v>148</v>
      </c>
      <c r="B643" s="20" t="s">
        <v>1399</v>
      </c>
      <c r="C643" s="20" t="s">
        <v>314</v>
      </c>
      <c r="D643" s="20" t="s">
        <v>133</v>
      </c>
      <c r="E643" s="40" t="s">
        <v>149</v>
      </c>
      <c r="F643" s="2"/>
      <c r="G643" s="10">
        <f>'Пр.4 ведом.20'!G395</f>
        <v>1330.923</v>
      </c>
      <c r="H643" s="313">
        <f>'Пр.4 ведом.20'!H395</f>
        <v>1330.90699</v>
      </c>
      <c r="I643" s="337">
        <f t="shared" si="341"/>
        <v>99.998797075413066</v>
      </c>
    </row>
    <row r="644" spans="1:9" s="210" customFormat="1" ht="50.25" customHeight="1" x14ac:dyDescent="0.25">
      <c r="A644" s="25" t="s">
        <v>1267</v>
      </c>
      <c r="B644" s="20" t="s">
        <v>1399</v>
      </c>
      <c r="C644" s="20" t="s">
        <v>314</v>
      </c>
      <c r="D644" s="20" t="s">
        <v>133</v>
      </c>
      <c r="E644" s="40" t="s">
        <v>149</v>
      </c>
      <c r="F644" s="2">
        <v>903</v>
      </c>
      <c r="G644" s="10">
        <f>G638</f>
        <v>1330.923</v>
      </c>
      <c r="H644" s="313">
        <f t="shared" ref="H644" si="372">H638</f>
        <v>1330.90699</v>
      </c>
      <c r="I644" s="337">
        <f t="shared" si="341"/>
        <v>99.998797075413066</v>
      </c>
    </row>
    <row r="645" spans="1:9" ht="31.5" x14ac:dyDescent="0.25">
      <c r="A645" s="41" t="s">
        <v>327</v>
      </c>
      <c r="B645" s="7" t="s">
        <v>328</v>
      </c>
      <c r="C645" s="7"/>
      <c r="D645" s="7"/>
      <c r="E645" s="7"/>
      <c r="F645" s="75"/>
      <c r="G645" s="59">
        <f>G646+G659+G666+G673+G684</f>
        <v>23544.700000000004</v>
      </c>
      <c r="H645" s="325">
        <f t="shared" ref="H645" si="373">H646+H659+H666+H673+H684</f>
        <v>23354.128089999998</v>
      </c>
      <c r="I645" s="4">
        <f t="shared" si="341"/>
        <v>99.190595293208219</v>
      </c>
    </row>
    <row r="646" spans="1:9" s="210" customFormat="1" ht="41.25" customHeight="1" x14ac:dyDescent="0.25">
      <c r="A646" s="23" t="s">
        <v>954</v>
      </c>
      <c r="B646" s="24" t="s">
        <v>958</v>
      </c>
      <c r="C646" s="7"/>
      <c r="D646" s="7"/>
      <c r="E646" s="7"/>
      <c r="F646" s="3"/>
      <c r="G646" s="59">
        <f>G647</f>
        <v>21497.100000000002</v>
      </c>
      <c r="H646" s="325">
        <f t="shared" ref="H646" si="374">H647</f>
        <v>21443.259329999997</v>
      </c>
      <c r="I646" s="4">
        <f t="shared" si="341"/>
        <v>99.749544496699528</v>
      </c>
    </row>
    <row r="647" spans="1:9" ht="15.75" x14ac:dyDescent="0.25">
      <c r="A647" s="73" t="s">
        <v>313</v>
      </c>
      <c r="B647" s="40" t="s">
        <v>958</v>
      </c>
      <c r="C647" s="40" t="s">
        <v>314</v>
      </c>
      <c r="D647" s="40"/>
      <c r="E647" s="40"/>
      <c r="F647" s="74"/>
      <c r="G647" s="10">
        <f t="shared" ref="G647:H648" si="375">G648</f>
        <v>21497.100000000002</v>
      </c>
      <c r="H647" s="313">
        <f t="shared" si="375"/>
        <v>21443.259329999997</v>
      </c>
      <c r="I647" s="337">
        <f t="shared" si="341"/>
        <v>99.749544496699528</v>
      </c>
    </row>
    <row r="648" spans="1:9" ht="15.75" x14ac:dyDescent="0.25">
      <c r="A648" s="73" t="s">
        <v>315</v>
      </c>
      <c r="B648" s="40" t="s">
        <v>958</v>
      </c>
      <c r="C648" s="40" t="s">
        <v>314</v>
      </c>
      <c r="D648" s="40" t="s">
        <v>133</v>
      </c>
      <c r="E648" s="40"/>
      <c r="F648" s="74"/>
      <c r="G648" s="10">
        <f>G649</f>
        <v>21497.100000000002</v>
      </c>
      <c r="H648" s="313">
        <f t="shared" si="375"/>
        <v>21443.259329999997</v>
      </c>
      <c r="I648" s="337">
        <f t="shared" si="341"/>
        <v>99.749544496699528</v>
      </c>
    </row>
    <row r="649" spans="1:9" ht="15.75" x14ac:dyDescent="0.25">
      <c r="A649" s="25" t="s">
        <v>830</v>
      </c>
      <c r="B649" s="20" t="s">
        <v>959</v>
      </c>
      <c r="C649" s="40" t="s">
        <v>314</v>
      </c>
      <c r="D649" s="40" t="s">
        <v>133</v>
      </c>
      <c r="E649" s="40"/>
      <c r="F649" s="2"/>
      <c r="G649" s="10">
        <f>G650+G653+G656</f>
        <v>21497.100000000002</v>
      </c>
      <c r="H649" s="313">
        <f t="shared" ref="H649" si="376">H650+H653+H656</f>
        <v>21443.259329999997</v>
      </c>
      <c r="I649" s="337">
        <f t="shared" si="341"/>
        <v>99.749544496699528</v>
      </c>
    </row>
    <row r="650" spans="1:9" ht="78.75" x14ac:dyDescent="0.25">
      <c r="A650" s="25" t="s">
        <v>142</v>
      </c>
      <c r="B650" s="20" t="s">
        <v>959</v>
      </c>
      <c r="C650" s="40" t="s">
        <v>314</v>
      </c>
      <c r="D650" s="40" t="s">
        <v>133</v>
      </c>
      <c r="E650" s="40" t="s">
        <v>143</v>
      </c>
      <c r="F650" s="2"/>
      <c r="G650" s="10">
        <f>G651</f>
        <v>17819.2</v>
      </c>
      <c r="H650" s="313">
        <f t="shared" ref="H650" si="377">H651</f>
        <v>17806.526969999999</v>
      </c>
      <c r="I650" s="337">
        <f t="shared" si="341"/>
        <v>99.928879916045602</v>
      </c>
    </row>
    <row r="651" spans="1:9" ht="15.75" x14ac:dyDescent="0.25">
      <c r="A651" s="25" t="s">
        <v>223</v>
      </c>
      <c r="B651" s="20" t="s">
        <v>959</v>
      </c>
      <c r="C651" s="40" t="s">
        <v>314</v>
      </c>
      <c r="D651" s="40" t="s">
        <v>133</v>
      </c>
      <c r="E651" s="40" t="s">
        <v>224</v>
      </c>
      <c r="F651" s="2"/>
      <c r="G651" s="10">
        <f>'Пр.4 ведом.20'!G400</f>
        <v>17819.2</v>
      </c>
      <c r="H651" s="313">
        <f>'Пр.4 ведом.20'!H400</f>
        <v>17806.526969999999</v>
      </c>
      <c r="I651" s="337">
        <f t="shared" si="341"/>
        <v>99.928879916045602</v>
      </c>
    </row>
    <row r="652" spans="1:9" s="210" customFormat="1" ht="47.25" x14ac:dyDescent="0.25">
      <c r="A652" s="25" t="s">
        <v>1267</v>
      </c>
      <c r="B652" s="20" t="s">
        <v>959</v>
      </c>
      <c r="C652" s="40" t="s">
        <v>314</v>
      </c>
      <c r="D652" s="40" t="s">
        <v>133</v>
      </c>
      <c r="E652" s="40" t="s">
        <v>224</v>
      </c>
      <c r="F652" s="2">
        <v>903</v>
      </c>
      <c r="G652" s="10">
        <f>G651</f>
        <v>17819.2</v>
      </c>
      <c r="H652" s="313">
        <f t="shared" ref="H652" si="378">H651</f>
        <v>17806.526969999999</v>
      </c>
      <c r="I652" s="337">
        <f t="shared" si="341"/>
        <v>99.928879916045602</v>
      </c>
    </row>
    <row r="653" spans="1:9" ht="31.5" x14ac:dyDescent="0.25">
      <c r="A653" s="25" t="s">
        <v>146</v>
      </c>
      <c r="B653" s="20" t="s">
        <v>959</v>
      </c>
      <c r="C653" s="40" t="s">
        <v>314</v>
      </c>
      <c r="D653" s="40" t="s">
        <v>133</v>
      </c>
      <c r="E653" s="40" t="s">
        <v>147</v>
      </c>
      <c r="F653" s="2"/>
      <c r="G653" s="10">
        <f>G654</f>
        <v>3641.4</v>
      </c>
      <c r="H653" s="313">
        <f t="shared" ref="H653" si="379">H654</f>
        <v>3600.5082400000001</v>
      </c>
      <c r="I653" s="337">
        <f t="shared" si="341"/>
        <v>98.877031910803538</v>
      </c>
    </row>
    <row r="654" spans="1:9" ht="31.5" x14ac:dyDescent="0.25">
      <c r="A654" s="25" t="s">
        <v>148</v>
      </c>
      <c r="B654" s="20" t="s">
        <v>959</v>
      </c>
      <c r="C654" s="40" t="s">
        <v>314</v>
      </c>
      <c r="D654" s="40" t="s">
        <v>133</v>
      </c>
      <c r="E654" s="40" t="s">
        <v>149</v>
      </c>
      <c r="F654" s="2"/>
      <c r="G654" s="10">
        <f>'Пр.4 ведом.20'!G402</f>
        <v>3641.4</v>
      </c>
      <c r="H654" s="313">
        <f>'Пр.4 ведом.20'!H402</f>
        <v>3600.5082400000001</v>
      </c>
      <c r="I654" s="337">
        <f t="shared" si="341"/>
        <v>98.877031910803538</v>
      </c>
    </row>
    <row r="655" spans="1:9" s="210" customFormat="1" ht="47.25" x14ac:dyDescent="0.25">
      <c r="A655" s="25" t="s">
        <v>1267</v>
      </c>
      <c r="B655" s="20" t="s">
        <v>959</v>
      </c>
      <c r="C655" s="40" t="s">
        <v>314</v>
      </c>
      <c r="D655" s="40" t="s">
        <v>133</v>
      </c>
      <c r="E655" s="40" t="s">
        <v>149</v>
      </c>
      <c r="F655" s="2">
        <v>903</v>
      </c>
      <c r="G655" s="10">
        <f>G654</f>
        <v>3641.4</v>
      </c>
      <c r="H655" s="313">
        <f t="shared" ref="H655" si="380">H654</f>
        <v>3600.5082400000001</v>
      </c>
      <c r="I655" s="337">
        <f t="shared" si="341"/>
        <v>98.877031910803538</v>
      </c>
    </row>
    <row r="656" spans="1:9" ht="15.75" customHeight="1" x14ac:dyDescent="0.25">
      <c r="A656" s="25" t="s">
        <v>150</v>
      </c>
      <c r="B656" s="20" t="s">
        <v>959</v>
      </c>
      <c r="C656" s="40" t="s">
        <v>314</v>
      </c>
      <c r="D656" s="40" t="s">
        <v>133</v>
      </c>
      <c r="E656" s="40" t="s">
        <v>160</v>
      </c>
      <c r="F656" s="2"/>
      <c r="G656" s="10">
        <f>G657</f>
        <v>36.5</v>
      </c>
      <c r="H656" s="313">
        <f t="shared" ref="H656" si="381">H657</f>
        <v>36.224119999999999</v>
      </c>
      <c r="I656" s="337">
        <f t="shared" si="341"/>
        <v>99.244164383561639</v>
      </c>
    </row>
    <row r="657" spans="1:9" ht="15.75" customHeight="1" x14ac:dyDescent="0.25">
      <c r="A657" s="25" t="s">
        <v>152</v>
      </c>
      <c r="B657" s="20" t="s">
        <v>959</v>
      </c>
      <c r="C657" s="40" t="s">
        <v>314</v>
      </c>
      <c r="D657" s="40" t="s">
        <v>133</v>
      </c>
      <c r="E657" s="40" t="s">
        <v>153</v>
      </c>
      <c r="F657" s="2"/>
      <c r="G657" s="10">
        <f>'Пр.4 ведом.20'!G404</f>
        <v>36.5</v>
      </c>
      <c r="H657" s="313">
        <f>'Пр.4 ведом.20'!H404</f>
        <v>36.224119999999999</v>
      </c>
      <c r="I657" s="337">
        <f t="shared" ref="I657:I720" si="382">H657/G657*100</f>
        <v>99.244164383561639</v>
      </c>
    </row>
    <row r="658" spans="1:9" s="210" customFormat="1" ht="50.25" customHeight="1" x14ac:dyDescent="0.25">
      <c r="A658" s="25" t="s">
        <v>1267</v>
      </c>
      <c r="B658" s="20" t="s">
        <v>959</v>
      </c>
      <c r="C658" s="40" t="s">
        <v>314</v>
      </c>
      <c r="D658" s="40" t="s">
        <v>133</v>
      </c>
      <c r="E658" s="40" t="s">
        <v>153</v>
      </c>
      <c r="F658" s="2">
        <v>903</v>
      </c>
      <c r="G658" s="10">
        <f>G657</f>
        <v>36.5</v>
      </c>
      <c r="H658" s="313">
        <f t="shared" ref="H658" si="383">H657</f>
        <v>36.224119999999999</v>
      </c>
      <c r="I658" s="337">
        <f t="shared" si="382"/>
        <v>99.244164383561639</v>
      </c>
    </row>
    <row r="659" spans="1:9" s="210" customFormat="1" ht="30.75" customHeight="1" x14ac:dyDescent="0.25">
      <c r="A659" s="23" t="s">
        <v>971</v>
      </c>
      <c r="B659" s="24" t="s">
        <v>960</v>
      </c>
      <c r="C659" s="7"/>
      <c r="D659" s="7"/>
      <c r="E659" s="7"/>
      <c r="F659" s="3"/>
      <c r="G659" s="59">
        <f>G662</f>
        <v>50</v>
      </c>
      <c r="H659" s="325">
        <f t="shared" ref="H659" si="384">H662</f>
        <v>50</v>
      </c>
      <c r="I659" s="4">
        <f t="shared" si="382"/>
        <v>100</v>
      </c>
    </row>
    <row r="660" spans="1:9" s="210" customFormat="1" ht="15.75" customHeight="1" x14ac:dyDescent="0.25">
      <c r="A660" s="73" t="s">
        <v>313</v>
      </c>
      <c r="B660" s="40" t="s">
        <v>960</v>
      </c>
      <c r="C660" s="40" t="s">
        <v>314</v>
      </c>
      <c r="D660" s="40"/>
      <c r="E660" s="40"/>
      <c r="F660" s="74"/>
      <c r="G660" s="10">
        <f t="shared" ref="G660:H663" si="385">G661</f>
        <v>50</v>
      </c>
      <c r="H660" s="313">
        <f t="shared" si="385"/>
        <v>50</v>
      </c>
      <c r="I660" s="337">
        <f t="shared" si="382"/>
        <v>100</v>
      </c>
    </row>
    <row r="661" spans="1:9" s="210" customFormat="1" ht="18" customHeight="1" x14ac:dyDescent="0.25">
      <c r="A661" s="73" t="s">
        <v>315</v>
      </c>
      <c r="B661" s="40" t="s">
        <v>960</v>
      </c>
      <c r="C661" s="40" t="s">
        <v>314</v>
      </c>
      <c r="D661" s="40" t="s">
        <v>133</v>
      </c>
      <c r="E661" s="40"/>
      <c r="F661" s="74"/>
      <c r="G661" s="10">
        <f>G662</f>
        <v>50</v>
      </c>
      <c r="H661" s="313">
        <f t="shared" si="385"/>
        <v>50</v>
      </c>
      <c r="I661" s="337">
        <f t="shared" si="382"/>
        <v>100</v>
      </c>
    </row>
    <row r="662" spans="1:9" s="210" customFormat="1" ht="33.75" customHeight="1" x14ac:dyDescent="0.25">
      <c r="A662" s="25" t="s">
        <v>864</v>
      </c>
      <c r="B662" s="20" t="s">
        <v>961</v>
      </c>
      <c r="C662" s="40" t="s">
        <v>314</v>
      </c>
      <c r="D662" s="40" t="s">
        <v>133</v>
      </c>
      <c r="E662" s="40"/>
      <c r="F662" s="2"/>
      <c r="G662" s="10">
        <f>G663</f>
        <v>50</v>
      </c>
      <c r="H662" s="313">
        <f t="shared" si="385"/>
        <v>50</v>
      </c>
      <c r="I662" s="337">
        <f t="shared" si="382"/>
        <v>100</v>
      </c>
    </row>
    <row r="663" spans="1:9" s="210" customFormat="1" ht="36.75" customHeight="1" x14ac:dyDescent="0.25">
      <c r="A663" s="25" t="s">
        <v>146</v>
      </c>
      <c r="B663" s="20" t="s">
        <v>961</v>
      </c>
      <c r="C663" s="40" t="s">
        <v>314</v>
      </c>
      <c r="D663" s="40" t="s">
        <v>133</v>
      </c>
      <c r="E663" s="40" t="s">
        <v>147</v>
      </c>
      <c r="F663" s="2"/>
      <c r="G663" s="10">
        <f>G664</f>
        <v>50</v>
      </c>
      <c r="H663" s="313">
        <f t="shared" si="385"/>
        <v>50</v>
      </c>
      <c r="I663" s="337">
        <f t="shared" si="382"/>
        <v>100</v>
      </c>
    </row>
    <row r="664" spans="1:9" s="210" customFormat="1" ht="33" customHeight="1" x14ac:dyDescent="0.25">
      <c r="A664" s="25" t="s">
        <v>148</v>
      </c>
      <c r="B664" s="20" t="s">
        <v>961</v>
      </c>
      <c r="C664" s="40" t="s">
        <v>314</v>
      </c>
      <c r="D664" s="40" t="s">
        <v>133</v>
      </c>
      <c r="E664" s="40" t="s">
        <v>149</v>
      </c>
      <c r="F664" s="2"/>
      <c r="G664" s="10">
        <f>'Пр.4 ведом.20'!G408</f>
        <v>50</v>
      </c>
      <c r="H664" s="313">
        <f>'Пр.4 ведом.20'!H408</f>
        <v>50</v>
      </c>
      <c r="I664" s="337">
        <f t="shared" si="382"/>
        <v>100</v>
      </c>
    </row>
    <row r="665" spans="1:9" s="210" customFormat="1" ht="48.2" customHeight="1" x14ac:dyDescent="0.25">
      <c r="A665" s="25" t="s">
        <v>1267</v>
      </c>
      <c r="B665" s="20" t="s">
        <v>961</v>
      </c>
      <c r="C665" s="40" t="s">
        <v>314</v>
      </c>
      <c r="D665" s="40" t="s">
        <v>133</v>
      </c>
      <c r="E665" s="40" t="s">
        <v>149</v>
      </c>
      <c r="F665" s="2">
        <v>903</v>
      </c>
      <c r="G665" s="10">
        <f>G664</f>
        <v>50</v>
      </c>
      <c r="H665" s="313">
        <f t="shared" ref="H665" si="386">H664</f>
        <v>50</v>
      </c>
      <c r="I665" s="337">
        <f t="shared" si="382"/>
        <v>100</v>
      </c>
    </row>
    <row r="666" spans="1:9" s="210" customFormat="1" ht="36.75" customHeight="1" x14ac:dyDescent="0.25">
      <c r="A666" s="23" t="s">
        <v>1074</v>
      </c>
      <c r="B666" s="24" t="s">
        <v>962</v>
      </c>
      <c r="C666" s="7"/>
      <c r="D666" s="7"/>
      <c r="E666" s="7"/>
      <c r="F666" s="3"/>
      <c r="G666" s="59">
        <f>G669</f>
        <v>332.9</v>
      </c>
      <c r="H666" s="325">
        <f t="shared" ref="H666" si="387">H669</f>
        <v>318.35480000000001</v>
      </c>
      <c r="I666" s="4">
        <f t="shared" si="382"/>
        <v>95.630759987984391</v>
      </c>
    </row>
    <row r="667" spans="1:9" s="210" customFormat="1" ht="16.5" customHeight="1" x14ac:dyDescent="0.25">
      <c r="A667" s="73" t="s">
        <v>313</v>
      </c>
      <c r="B667" s="40" t="s">
        <v>962</v>
      </c>
      <c r="C667" s="40" t="s">
        <v>314</v>
      </c>
      <c r="D667" s="40"/>
      <c r="E667" s="40"/>
      <c r="F667" s="74"/>
      <c r="G667" s="10">
        <f t="shared" ref="G667:H670" si="388">G668</f>
        <v>332.9</v>
      </c>
      <c r="H667" s="313">
        <f t="shared" si="388"/>
        <v>318.35480000000001</v>
      </c>
      <c r="I667" s="337">
        <f t="shared" si="382"/>
        <v>95.630759987984391</v>
      </c>
    </row>
    <row r="668" spans="1:9" s="210" customFormat="1" ht="18.75" customHeight="1" x14ac:dyDescent="0.25">
      <c r="A668" s="73" t="s">
        <v>315</v>
      </c>
      <c r="B668" s="40" t="s">
        <v>962</v>
      </c>
      <c r="C668" s="40" t="s">
        <v>314</v>
      </c>
      <c r="D668" s="40" t="s">
        <v>133</v>
      </c>
      <c r="E668" s="40"/>
      <c r="F668" s="74"/>
      <c r="G668" s="10">
        <f>G669</f>
        <v>332.9</v>
      </c>
      <c r="H668" s="313">
        <f t="shared" si="388"/>
        <v>318.35480000000001</v>
      </c>
      <c r="I668" s="337">
        <f t="shared" si="382"/>
        <v>95.630759987984391</v>
      </c>
    </row>
    <row r="669" spans="1:9" s="210" customFormat="1" ht="44.45" customHeight="1" x14ac:dyDescent="0.25">
      <c r="A669" s="25" t="s">
        <v>883</v>
      </c>
      <c r="B669" s="20" t="s">
        <v>1250</v>
      </c>
      <c r="C669" s="40" t="s">
        <v>314</v>
      </c>
      <c r="D669" s="40" t="s">
        <v>133</v>
      </c>
      <c r="E669" s="40"/>
      <c r="F669" s="2"/>
      <c r="G669" s="10">
        <f>G670</f>
        <v>332.9</v>
      </c>
      <c r="H669" s="313">
        <f t="shared" si="388"/>
        <v>318.35480000000001</v>
      </c>
      <c r="I669" s="337">
        <f t="shared" si="382"/>
        <v>95.630759987984391</v>
      </c>
    </row>
    <row r="670" spans="1:9" s="210" customFormat="1" ht="78" customHeight="1" x14ac:dyDescent="0.25">
      <c r="A670" s="25" t="s">
        <v>142</v>
      </c>
      <c r="B670" s="20" t="s">
        <v>1250</v>
      </c>
      <c r="C670" s="40" t="s">
        <v>314</v>
      </c>
      <c r="D670" s="40" t="s">
        <v>133</v>
      </c>
      <c r="E670" s="40" t="s">
        <v>143</v>
      </c>
      <c r="F670" s="2"/>
      <c r="G670" s="10">
        <f>G671</f>
        <v>332.9</v>
      </c>
      <c r="H670" s="313">
        <f t="shared" si="388"/>
        <v>318.35480000000001</v>
      </c>
      <c r="I670" s="337">
        <f t="shared" si="382"/>
        <v>95.630759987984391</v>
      </c>
    </row>
    <row r="671" spans="1:9" s="210" customFormat="1" ht="33" customHeight="1" x14ac:dyDescent="0.25">
      <c r="A671" s="25" t="s">
        <v>144</v>
      </c>
      <c r="B671" s="20" t="s">
        <v>1250</v>
      </c>
      <c r="C671" s="40" t="s">
        <v>314</v>
      </c>
      <c r="D671" s="40" t="s">
        <v>133</v>
      </c>
      <c r="E671" s="40" t="s">
        <v>224</v>
      </c>
      <c r="F671" s="2"/>
      <c r="G671" s="10">
        <f>'Пр.4 ведом.20'!G412</f>
        <v>332.9</v>
      </c>
      <c r="H671" s="313">
        <f>'Пр.4 ведом.20'!H412</f>
        <v>318.35480000000001</v>
      </c>
      <c r="I671" s="337">
        <f t="shared" si="382"/>
        <v>95.630759987984391</v>
      </c>
    </row>
    <row r="672" spans="1:9" s="210" customFormat="1" ht="44.45" customHeight="1" x14ac:dyDescent="0.25">
      <c r="A672" s="25" t="s">
        <v>1267</v>
      </c>
      <c r="B672" s="20" t="s">
        <v>1250</v>
      </c>
      <c r="C672" s="40" t="s">
        <v>314</v>
      </c>
      <c r="D672" s="40" t="s">
        <v>133</v>
      </c>
      <c r="E672" s="40" t="s">
        <v>224</v>
      </c>
      <c r="F672" s="2">
        <v>903</v>
      </c>
      <c r="G672" s="10">
        <f>G671</f>
        <v>332.9</v>
      </c>
      <c r="H672" s="313">
        <f t="shared" ref="H672" si="389">H671</f>
        <v>318.35480000000001</v>
      </c>
      <c r="I672" s="337">
        <f t="shared" si="382"/>
        <v>95.630759987984391</v>
      </c>
    </row>
    <row r="673" spans="1:9" s="210" customFormat="1" ht="32.25" customHeight="1" x14ac:dyDescent="0.25">
      <c r="A673" s="23" t="s">
        <v>1161</v>
      </c>
      <c r="B673" s="24" t="s">
        <v>963</v>
      </c>
      <c r="C673" s="7"/>
      <c r="D673" s="7"/>
      <c r="E673" s="7"/>
      <c r="F673" s="3"/>
      <c r="G673" s="59">
        <f>G676+G680</f>
        <v>68.7</v>
      </c>
      <c r="H673" s="325">
        <f t="shared" ref="H673" si="390">H676+H680</f>
        <v>68.7</v>
      </c>
      <c r="I673" s="4">
        <f t="shared" si="382"/>
        <v>100</v>
      </c>
    </row>
    <row r="674" spans="1:9" s="210" customFormat="1" ht="17.45" customHeight="1" x14ac:dyDescent="0.25">
      <c r="A674" s="68" t="s">
        <v>313</v>
      </c>
      <c r="B674" s="40" t="s">
        <v>963</v>
      </c>
      <c r="C674" s="40" t="s">
        <v>314</v>
      </c>
      <c r="D674" s="40"/>
      <c r="E674" s="40"/>
      <c r="F674" s="74"/>
      <c r="G674" s="10">
        <f t="shared" ref="G674:H674" si="391">G675</f>
        <v>68.7</v>
      </c>
      <c r="H674" s="313">
        <f t="shared" si="391"/>
        <v>68.7</v>
      </c>
      <c r="I674" s="337">
        <f t="shared" si="382"/>
        <v>100</v>
      </c>
    </row>
    <row r="675" spans="1:9" s="210" customFormat="1" ht="21.2" customHeight="1" x14ac:dyDescent="0.25">
      <c r="A675" s="68" t="s">
        <v>315</v>
      </c>
      <c r="B675" s="40" t="s">
        <v>963</v>
      </c>
      <c r="C675" s="40" t="s">
        <v>314</v>
      </c>
      <c r="D675" s="40" t="s">
        <v>133</v>
      </c>
      <c r="E675" s="40"/>
      <c r="F675" s="74"/>
      <c r="G675" s="10">
        <f>G676+G680</f>
        <v>68.7</v>
      </c>
      <c r="H675" s="313">
        <f t="shared" ref="H675" si="392">H676+H680</f>
        <v>68.7</v>
      </c>
      <c r="I675" s="337">
        <f t="shared" si="382"/>
        <v>100</v>
      </c>
    </row>
    <row r="676" spans="1:9" s="210" customFormat="1" ht="15.75" customHeight="1" x14ac:dyDescent="0.25">
      <c r="A676" s="25" t="s">
        <v>344</v>
      </c>
      <c r="B676" s="20" t="s">
        <v>1251</v>
      </c>
      <c r="C676" s="40" t="s">
        <v>314</v>
      </c>
      <c r="D676" s="40" t="s">
        <v>133</v>
      </c>
      <c r="E676" s="40"/>
      <c r="F676" s="2"/>
      <c r="G676" s="10">
        <f>G677</f>
        <v>3.5</v>
      </c>
      <c r="H676" s="313">
        <f t="shared" ref="H676:H677" si="393">H677</f>
        <v>3.5</v>
      </c>
      <c r="I676" s="337">
        <f t="shared" si="382"/>
        <v>100</v>
      </c>
    </row>
    <row r="677" spans="1:9" s="210" customFormat="1" ht="34.5" customHeight="1" x14ac:dyDescent="0.25">
      <c r="A677" s="25" t="s">
        <v>146</v>
      </c>
      <c r="B677" s="20" t="s">
        <v>1251</v>
      </c>
      <c r="C677" s="40" t="s">
        <v>314</v>
      </c>
      <c r="D677" s="40" t="s">
        <v>133</v>
      </c>
      <c r="E677" s="40" t="s">
        <v>147</v>
      </c>
      <c r="F677" s="2"/>
      <c r="G677" s="10">
        <f>G678</f>
        <v>3.5</v>
      </c>
      <c r="H677" s="313">
        <f t="shared" si="393"/>
        <v>3.5</v>
      </c>
      <c r="I677" s="337">
        <f t="shared" si="382"/>
        <v>100</v>
      </c>
    </row>
    <row r="678" spans="1:9" s="210" customFormat="1" ht="32.25" customHeight="1" x14ac:dyDescent="0.25">
      <c r="A678" s="25" t="s">
        <v>148</v>
      </c>
      <c r="B678" s="20" t="s">
        <v>1251</v>
      </c>
      <c r="C678" s="40" t="s">
        <v>314</v>
      </c>
      <c r="D678" s="40" t="s">
        <v>133</v>
      </c>
      <c r="E678" s="40" t="s">
        <v>149</v>
      </c>
      <c r="F678" s="2"/>
      <c r="G678" s="10">
        <f>'Пр.4 ведом.20'!G416</f>
        <v>3.5</v>
      </c>
      <c r="H678" s="313">
        <f>'Пр.4 ведом.20'!H416</f>
        <v>3.5</v>
      </c>
      <c r="I678" s="337">
        <f t="shared" si="382"/>
        <v>100</v>
      </c>
    </row>
    <row r="679" spans="1:9" s="210" customFormat="1" ht="50.25" customHeight="1" x14ac:dyDescent="0.25">
      <c r="A679" s="25" t="s">
        <v>1267</v>
      </c>
      <c r="B679" s="20" t="s">
        <v>1251</v>
      </c>
      <c r="C679" s="40" t="s">
        <v>314</v>
      </c>
      <c r="D679" s="40" t="s">
        <v>133</v>
      </c>
      <c r="E679" s="40" t="s">
        <v>149</v>
      </c>
      <c r="F679" s="2">
        <v>903</v>
      </c>
      <c r="G679" s="10">
        <f>G678</f>
        <v>3.5</v>
      </c>
      <c r="H679" s="313">
        <f t="shared" ref="H679" si="394">H678</f>
        <v>3.5</v>
      </c>
      <c r="I679" s="337">
        <f t="shared" si="382"/>
        <v>100</v>
      </c>
    </row>
    <row r="680" spans="1:9" s="210" customFormat="1" ht="15.75" customHeight="1" x14ac:dyDescent="0.25">
      <c r="A680" s="25" t="s">
        <v>344</v>
      </c>
      <c r="B680" s="20" t="s">
        <v>1252</v>
      </c>
      <c r="C680" s="40" t="s">
        <v>314</v>
      </c>
      <c r="D680" s="40" t="s">
        <v>133</v>
      </c>
      <c r="E680" s="40"/>
      <c r="F680" s="2"/>
      <c r="G680" s="10">
        <f>G681</f>
        <v>65.2</v>
      </c>
      <c r="H680" s="313">
        <f t="shared" ref="H680:H681" si="395">H681</f>
        <v>65.2</v>
      </c>
      <c r="I680" s="337">
        <f t="shared" si="382"/>
        <v>100</v>
      </c>
    </row>
    <row r="681" spans="1:9" s="210" customFormat="1" ht="36.75" customHeight="1" x14ac:dyDescent="0.25">
      <c r="A681" s="25" t="s">
        <v>146</v>
      </c>
      <c r="B681" s="20" t="s">
        <v>1252</v>
      </c>
      <c r="C681" s="40" t="s">
        <v>314</v>
      </c>
      <c r="D681" s="40" t="s">
        <v>133</v>
      </c>
      <c r="E681" s="40" t="s">
        <v>147</v>
      </c>
      <c r="F681" s="2"/>
      <c r="G681" s="10">
        <f>G682</f>
        <v>65.2</v>
      </c>
      <c r="H681" s="313">
        <f t="shared" si="395"/>
        <v>65.2</v>
      </c>
      <c r="I681" s="337">
        <f t="shared" si="382"/>
        <v>100</v>
      </c>
    </row>
    <row r="682" spans="1:9" s="210" customFormat="1" ht="37.5" customHeight="1" x14ac:dyDescent="0.25">
      <c r="A682" s="25" t="s">
        <v>148</v>
      </c>
      <c r="B682" s="20" t="s">
        <v>1252</v>
      </c>
      <c r="C682" s="40" t="s">
        <v>314</v>
      </c>
      <c r="D682" s="40" t="s">
        <v>133</v>
      </c>
      <c r="E682" s="40" t="s">
        <v>149</v>
      </c>
      <c r="F682" s="2"/>
      <c r="G682" s="10">
        <f>'Пр.4 ведом.20'!G419</f>
        <v>65.2</v>
      </c>
      <c r="H682" s="313">
        <f>'Пр.4 ведом.20'!H419</f>
        <v>65.2</v>
      </c>
      <c r="I682" s="337">
        <f t="shared" si="382"/>
        <v>100</v>
      </c>
    </row>
    <row r="683" spans="1:9" s="210" customFormat="1" ht="51.75" customHeight="1" x14ac:dyDescent="0.25">
      <c r="A683" s="25" t="s">
        <v>1267</v>
      </c>
      <c r="B683" s="20" t="s">
        <v>1252</v>
      </c>
      <c r="C683" s="40" t="s">
        <v>314</v>
      </c>
      <c r="D683" s="40" t="s">
        <v>133</v>
      </c>
      <c r="E683" s="40" t="s">
        <v>149</v>
      </c>
      <c r="F683" s="2">
        <v>903</v>
      </c>
      <c r="G683" s="10">
        <f>G682</f>
        <v>65.2</v>
      </c>
      <c r="H683" s="313">
        <f t="shared" ref="H683" si="396">H682</f>
        <v>65.2</v>
      </c>
      <c r="I683" s="337">
        <f t="shared" si="382"/>
        <v>100</v>
      </c>
    </row>
    <row r="684" spans="1:9" s="210" customFormat="1" ht="49.7" customHeight="1" x14ac:dyDescent="0.25">
      <c r="A684" s="223" t="s">
        <v>969</v>
      </c>
      <c r="B684" s="24" t="s">
        <v>1253</v>
      </c>
      <c r="C684" s="7"/>
      <c r="D684" s="7"/>
      <c r="E684" s="7"/>
      <c r="F684" s="3"/>
      <c r="G684" s="59">
        <f>G685</f>
        <v>1596</v>
      </c>
      <c r="H684" s="325">
        <f t="shared" ref="H684" si="397">H685</f>
        <v>1473.81396</v>
      </c>
      <c r="I684" s="4">
        <f t="shared" si="382"/>
        <v>92.344233082706765</v>
      </c>
    </row>
    <row r="685" spans="1:9" s="210" customFormat="1" ht="18" customHeight="1" x14ac:dyDescent="0.25">
      <c r="A685" s="68" t="s">
        <v>313</v>
      </c>
      <c r="B685" s="40" t="s">
        <v>1253</v>
      </c>
      <c r="C685" s="40" t="s">
        <v>314</v>
      </c>
      <c r="D685" s="40"/>
      <c r="E685" s="40"/>
      <c r="F685" s="74"/>
      <c r="G685" s="10">
        <f t="shared" ref="G685:H685" si="398">G686</f>
        <v>1596</v>
      </c>
      <c r="H685" s="313">
        <f t="shared" si="398"/>
        <v>1473.81396</v>
      </c>
      <c r="I685" s="337">
        <f t="shared" si="382"/>
        <v>92.344233082706765</v>
      </c>
    </row>
    <row r="686" spans="1:9" s="210" customFormat="1" ht="18.75" customHeight="1" x14ac:dyDescent="0.25">
      <c r="A686" s="68" t="s">
        <v>315</v>
      </c>
      <c r="B686" s="40" t="s">
        <v>1253</v>
      </c>
      <c r="C686" s="40" t="s">
        <v>314</v>
      </c>
      <c r="D686" s="40" t="s">
        <v>133</v>
      </c>
      <c r="E686" s="40"/>
      <c r="F686" s="74"/>
      <c r="G686" s="10">
        <f>G691+G695+G687</f>
        <v>1596</v>
      </c>
      <c r="H686" s="313">
        <f t="shared" ref="H686" si="399">H691+H695+H687</f>
        <v>1473.81396</v>
      </c>
      <c r="I686" s="337">
        <f t="shared" si="382"/>
        <v>92.344233082706765</v>
      </c>
    </row>
    <row r="687" spans="1:9" s="309" customFormat="1" ht="101.25" customHeight="1" x14ac:dyDescent="0.25">
      <c r="A687" s="31" t="s">
        <v>308</v>
      </c>
      <c r="B687" s="316" t="s">
        <v>1512</v>
      </c>
      <c r="C687" s="324" t="s">
        <v>314</v>
      </c>
      <c r="D687" s="324" t="s">
        <v>133</v>
      </c>
      <c r="E687" s="324"/>
      <c r="F687" s="2"/>
      <c r="G687" s="313">
        <f>G688</f>
        <v>1159.3</v>
      </c>
      <c r="H687" s="313">
        <f t="shared" ref="H687:H688" si="400">H688</f>
        <v>1043.8611000000001</v>
      </c>
      <c r="I687" s="337">
        <f t="shared" si="382"/>
        <v>90.042361770033651</v>
      </c>
    </row>
    <row r="688" spans="1:9" s="309" customFormat="1" ht="85.7" customHeight="1" x14ac:dyDescent="0.25">
      <c r="A688" s="320" t="s">
        <v>142</v>
      </c>
      <c r="B688" s="316" t="s">
        <v>1512</v>
      </c>
      <c r="C688" s="324" t="s">
        <v>314</v>
      </c>
      <c r="D688" s="324" t="s">
        <v>133</v>
      </c>
      <c r="E688" s="324" t="s">
        <v>143</v>
      </c>
      <c r="F688" s="2"/>
      <c r="G688" s="313">
        <f>G689</f>
        <v>1159.3</v>
      </c>
      <c r="H688" s="313">
        <f t="shared" si="400"/>
        <v>1043.8611000000001</v>
      </c>
      <c r="I688" s="337">
        <f t="shared" si="382"/>
        <v>90.042361770033651</v>
      </c>
    </row>
    <row r="689" spans="1:9" s="309" customFormat="1" ht="18.75" customHeight="1" x14ac:dyDescent="0.25">
      <c r="A689" s="320" t="s">
        <v>223</v>
      </c>
      <c r="B689" s="316" t="s">
        <v>1512</v>
      </c>
      <c r="C689" s="324" t="s">
        <v>314</v>
      </c>
      <c r="D689" s="324" t="s">
        <v>133</v>
      </c>
      <c r="E689" s="324" t="s">
        <v>224</v>
      </c>
      <c r="F689" s="2"/>
      <c r="G689" s="313">
        <f>'Пр.4 ведом.20'!G423</f>
        <v>1159.3</v>
      </c>
      <c r="H689" s="313">
        <f>'Пр.4 ведом.20'!H423</f>
        <v>1043.8611000000001</v>
      </c>
      <c r="I689" s="337">
        <f t="shared" si="382"/>
        <v>90.042361770033651</v>
      </c>
    </row>
    <row r="690" spans="1:9" s="309" customFormat="1" ht="49.7" customHeight="1" x14ac:dyDescent="0.25">
      <c r="A690" s="320" t="s">
        <v>1267</v>
      </c>
      <c r="B690" s="316" t="s">
        <v>1512</v>
      </c>
      <c r="C690" s="324" t="s">
        <v>314</v>
      </c>
      <c r="D690" s="324" t="s">
        <v>133</v>
      </c>
      <c r="E690" s="324" t="s">
        <v>224</v>
      </c>
      <c r="F690" s="2">
        <v>903</v>
      </c>
      <c r="G690" s="313">
        <f>G687</f>
        <v>1159.3</v>
      </c>
      <c r="H690" s="313">
        <f t="shared" ref="H690" si="401">H687</f>
        <v>1043.8611000000001</v>
      </c>
      <c r="I690" s="337">
        <f t="shared" si="382"/>
        <v>90.042361770033651</v>
      </c>
    </row>
    <row r="691" spans="1:9" s="210" customFormat="1" ht="66.2" customHeight="1" x14ac:dyDescent="0.25">
      <c r="A691" s="25" t="s">
        <v>346</v>
      </c>
      <c r="B691" s="20" t="s">
        <v>1254</v>
      </c>
      <c r="C691" s="40" t="s">
        <v>314</v>
      </c>
      <c r="D691" s="40" t="s">
        <v>133</v>
      </c>
      <c r="E691" s="40"/>
      <c r="F691" s="2"/>
      <c r="G691" s="10">
        <f>G692</f>
        <v>319.7</v>
      </c>
      <c r="H691" s="313">
        <f t="shared" ref="H691:H692" si="402">H692</f>
        <v>312.95285999999999</v>
      </c>
      <c r="I691" s="337">
        <f t="shared" si="382"/>
        <v>97.889540193931808</v>
      </c>
    </row>
    <row r="692" spans="1:9" s="210" customFormat="1" ht="77.25" customHeight="1" x14ac:dyDescent="0.25">
      <c r="A692" s="25" t="s">
        <v>142</v>
      </c>
      <c r="B692" s="20" t="s">
        <v>1254</v>
      </c>
      <c r="C692" s="40" t="s">
        <v>314</v>
      </c>
      <c r="D692" s="40" t="s">
        <v>133</v>
      </c>
      <c r="E692" s="40" t="s">
        <v>143</v>
      </c>
      <c r="F692" s="2"/>
      <c r="G692" s="10">
        <f>G693</f>
        <v>319.7</v>
      </c>
      <c r="H692" s="313">
        <f t="shared" si="402"/>
        <v>312.95285999999999</v>
      </c>
      <c r="I692" s="337">
        <f t="shared" si="382"/>
        <v>97.889540193931808</v>
      </c>
    </row>
    <row r="693" spans="1:9" s="210" customFormat="1" ht="20.25" customHeight="1" x14ac:dyDescent="0.25">
      <c r="A693" s="25" t="s">
        <v>223</v>
      </c>
      <c r="B693" s="20" t="s">
        <v>1254</v>
      </c>
      <c r="C693" s="40" t="s">
        <v>314</v>
      </c>
      <c r="D693" s="40" t="s">
        <v>133</v>
      </c>
      <c r="E693" s="40" t="s">
        <v>224</v>
      </c>
      <c r="F693" s="2"/>
      <c r="G693" s="10">
        <f>'Пр.4 ведом.20'!G426</f>
        <v>319.7</v>
      </c>
      <c r="H693" s="313">
        <f>'Пр.4 ведом.20'!H426</f>
        <v>312.95285999999999</v>
      </c>
      <c r="I693" s="337">
        <f t="shared" si="382"/>
        <v>97.889540193931808</v>
      </c>
    </row>
    <row r="694" spans="1:9" s="210" customFormat="1" ht="51.75" customHeight="1" x14ac:dyDescent="0.25">
      <c r="A694" s="25" t="s">
        <v>1267</v>
      </c>
      <c r="B694" s="20" t="s">
        <v>1254</v>
      </c>
      <c r="C694" s="40" t="s">
        <v>314</v>
      </c>
      <c r="D694" s="40" t="s">
        <v>133</v>
      </c>
      <c r="E694" s="40" t="s">
        <v>224</v>
      </c>
      <c r="F694" s="2">
        <v>903</v>
      </c>
      <c r="G694" s="10">
        <f>G693</f>
        <v>319.7</v>
      </c>
      <c r="H694" s="313">
        <f t="shared" ref="H694" si="403">H693</f>
        <v>312.95285999999999</v>
      </c>
      <c r="I694" s="337">
        <f t="shared" si="382"/>
        <v>97.889540193931808</v>
      </c>
    </row>
    <row r="695" spans="1:9" s="210" customFormat="1" ht="95.25" customHeight="1" x14ac:dyDescent="0.25">
      <c r="A695" s="31" t="s">
        <v>308</v>
      </c>
      <c r="B695" s="20" t="s">
        <v>1255</v>
      </c>
      <c r="C695" s="40" t="s">
        <v>314</v>
      </c>
      <c r="D695" s="40" t="s">
        <v>133</v>
      </c>
      <c r="E695" s="40"/>
      <c r="F695" s="2"/>
      <c r="G695" s="10">
        <f>G696</f>
        <v>117</v>
      </c>
      <c r="H695" s="313">
        <f t="shared" ref="H695:H696" si="404">H696</f>
        <v>117</v>
      </c>
      <c r="I695" s="337">
        <f t="shared" si="382"/>
        <v>100</v>
      </c>
    </row>
    <row r="696" spans="1:9" s="210" customFormat="1" ht="30.75" customHeight="1" x14ac:dyDescent="0.25">
      <c r="A696" s="25" t="s">
        <v>142</v>
      </c>
      <c r="B696" s="20" t="s">
        <v>1255</v>
      </c>
      <c r="C696" s="40" t="s">
        <v>314</v>
      </c>
      <c r="D696" s="40" t="s">
        <v>133</v>
      </c>
      <c r="E696" s="40" t="s">
        <v>143</v>
      </c>
      <c r="F696" s="2"/>
      <c r="G696" s="10">
        <f>G697</f>
        <v>117</v>
      </c>
      <c r="H696" s="313">
        <f t="shared" si="404"/>
        <v>117</v>
      </c>
      <c r="I696" s="337">
        <f t="shared" si="382"/>
        <v>100</v>
      </c>
    </row>
    <row r="697" spans="1:9" s="210" customFormat="1" ht="22.7" customHeight="1" x14ac:dyDescent="0.25">
      <c r="A697" s="25" t="s">
        <v>223</v>
      </c>
      <c r="B697" s="20" t="s">
        <v>1255</v>
      </c>
      <c r="C697" s="40" t="s">
        <v>314</v>
      </c>
      <c r="D697" s="40" t="s">
        <v>133</v>
      </c>
      <c r="E697" s="40" t="s">
        <v>224</v>
      </c>
      <c r="F697" s="2"/>
      <c r="G697" s="10">
        <f>'Пр.4 ведом.20'!G429</f>
        <v>117</v>
      </c>
      <c r="H697" s="313">
        <f>'Пр.4 ведом.20'!H429</f>
        <v>117</v>
      </c>
      <c r="I697" s="337">
        <f t="shared" si="382"/>
        <v>100</v>
      </c>
    </row>
    <row r="698" spans="1:9" s="210" customFormat="1" ht="48.75" customHeight="1" x14ac:dyDescent="0.25">
      <c r="A698" s="25" t="s">
        <v>1267</v>
      </c>
      <c r="B698" s="20" t="s">
        <v>1255</v>
      </c>
      <c r="C698" s="40" t="s">
        <v>314</v>
      </c>
      <c r="D698" s="40" t="s">
        <v>133</v>
      </c>
      <c r="E698" s="40" t="s">
        <v>224</v>
      </c>
      <c r="F698" s="2">
        <v>903</v>
      </c>
      <c r="G698" s="10">
        <f>G697</f>
        <v>117</v>
      </c>
      <c r="H698" s="313">
        <f t="shared" ref="H698" si="405">H697</f>
        <v>117</v>
      </c>
      <c r="I698" s="337">
        <f t="shared" si="382"/>
        <v>100</v>
      </c>
    </row>
    <row r="699" spans="1:9" s="210" customFormat="1" ht="69" customHeight="1" x14ac:dyDescent="0.25">
      <c r="A699" s="23" t="s">
        <v>283</v>
      </c>
      <c r="B699" s="24" t="s">
        <v>284</v>
      </c>
      <c r="C699" s="7"/>
      <c r="D699" s="7"/>
      <c r="E699" s="7"/>
      <c r="F699" s="3"/>
      <c r="G699" s="59">
        <f>G700+G713+G720+G730+G737</f>
        <v>15995.499999999998</v>
      </c>
      <c r="H699" s="325">
        <f t="shared" ref="H699" si="406">H700+H713+H720+H730+H737</f>
        <v>15536.00756</v>
      </c>
      <c r="I699" s="4">
        <f t="shared" si="382"/>
        <v>97.127364321215353</v>
      </c>
    </row>
    <row r="700" spans="1:9" s="210" customFormat="1" ht="37.5" customHeight="1" x14ac:dyDescent="0.25">
      <c r="A700" s="23" t="s">
        <v>939</v>
      </c>
      <c r="B700" s="24" t="s">
        <v>940</v>
      </c>
      <c r="C700" s="7"/>
      <c r="D700" s="7"/>
      <c r="E700" s="7"/>
      <c r="F700" s="3"/>
      <c r="G700" s="59">
        <f>G701</f>
        <v>14592.599999999999</v>
      </c>
      <c r="H700" s="325">
        <f t="shared" ref="H700:H702" si="407">H701</f>
        <v>14417.03911</v>
      </c>
      <c r="I700" s="4">
        <f t="shared" si="382"/>
        <v>98.796918369584603</v>
      </c>
    </row>
    <row r="701" spans="1:9" s="210" customFormat="1" ht="15.75" customHeight="1" x14ac:dyDescent="0.25">
      <c r="A701" s="25" t="s">
        <v>278</v>
      </c>
      <c r="B701" s="20" t="s">
        <v>940</v>
      </c>
      <c r="C701" s="40" t="s">
        <v>279</v>
      </c>
      <c r="D701" s="40"/>
      <c r="E701" s="40"/>
      <c r="F701" s="2"/>
      <c r="G701" s="10">
        <f>G702</f>
        <v>14592.599999999999</v>
      </c>
      <c r="H701" s="313">
        <f t="shared" si="407"/>
        <v>14417.03911</v>
      </c>
      <c r="I701" s="337">
        <f t="shared" si="382"/>
        <v>98.796918369584603</v>
      </c>
    </row>
    <row r="702" spans="1:9" s="210" customFormat="1" ht="20.25" customHeight="1" x14ac:dyDescent="0.25">
      <c r="A702" s="25" t="s">
        <v>280</v>
      </c>
      <c r="B702" s="20" t="s">
        <v>940</v>
      </c>
      <c r="C702" s="40" t="s">
        <v>279</v>
      </c>
      <c r="D702" s="40" t="s">
        <v>230</v>
      </c>
      <c r="E702" s="40"/>
      <c r="F702" s="2"/>
      <c r="G702" s="10">
        <f>G703</f>
        <v>14592.599999999999</v>
      </c>
      <c r="H702" s="313">
        <f t="shared" si="407"/>
        <v>14417.03911</v>
      </c>
      <c r="I702" s="337">
        <f t="shared" si="382"/>
        <v>98.796918369584603</v>
      </c>
    </row>
    <row r="703" spans="1:9" s="210" customFormat="1" ht="18.75" customHeight="1" x14ac:dyDescent="0.25">
      <c r="A703" s="25" t="s">
        <v>830</v>
      </c>
      <c r="B703" s="20" t="s">
        <v>938</v>
      </c>
      <c r="C703" s="40" t="s">
        <v>279</v>
      </c>
      <c r="D703" s="40" t="s">
        <v>230</v>
      </c>
      <c r="E703" s="40"/>
      <c r="F703" s="2"/>
      <c r="G703" s="10">
        <f>G704+G707+G710</f>
        <v>14592.599999999999</v>
      </c>
      <c r="H703" s="313">
        <f t="shared" ref="H703" si="408">H704+H707+H710</f>
        <v>14417.03911</v>
      </c>
      <c r="I703" s="337">
        <f t="shared" si="382"/>
        <v>98.796918369584603</v>
      </c>
    </row>
    <row r="704" spans="1:9" s="210" customFormat="1" ht="86.25" customHeight="1" x14ac:dyDescent="0.25">
      <c r="A704" s="25" t="s">
        <v>142</v>
      </c>
      <c r="B704" s="20" t="s">
        <v>938</v>
      </c>
      <c r="C704" s="40" t="s">
        <v>279</v>
      </c>
      <c r="D704" s="40" t="s">
        <v>230</v>
      </c>
      <c r="E704" s="20" t="s">
        <v>143</v>
      </c>
      <c r="F704" s="2"/>
      <c r="G704" s="10">
        <f>G705</f>
        <v>12446.599999999999</v>
      </c>
      <c r="H704" s="313">
        <f t="shared" ref="H704" si="409">H705</f>
        <v>12446.168750000001</v>
      </c>
      <c r="I704" s="337">
        <f t="shared" si="382"/>
        <v>99.99653519836744</v>
      </c>
    </row>
    <row r="705" spans="1:9" s="210" customFormat="1" ht="15.75" customHeight="1" x14ac:dyDescent="0.25">
      <c r="A705" s="46" t="s">
        <v>357</v>
      </c>
      <c r="B705" s="20" t="s">
        <v>938</v>
      </c>
      <c r="C705" s="40" t="s">
        <v>279</v>
      </c>
      <c r="D705" s="40" t="s">
        <v>230</v>
      </c>
      <c r="E705" s="20" t="s">
        <v>224</v>
      </c>
      <c r="F705" s="2"/>
      <c r="G705" s="10">
        <f>'Пр.4 ведом.20'!G303</f>
        <v>12446.599999999999</v>
      </c>
      <c r="H705" s="313">
        <f>'Пр.4 ведом.20'!H303</f>
        <v>12446.168750000001</v>
      </c>
      <c r="I705" s="337">
        <f t="shared" si="382"/>
        <v>99.99653519836744</v>
      </c>
    </row>
    <row r="706" spans="1:9" s="210" customFormat="1" ht="48.2" customHeight="1" x14ac:dyDescent="0.25">
      <c r="A706" s="25" t="s">
        <v>1267</v>
      </c>
      <c r="B706" s="20" t="s">
        <v>938</v>
      </c>
      <c r="C706" s="40" t="s">
        <v>279</v>
      </c>
      <c r="D706" s="40" t="s">
        <v>230</v>
      </c>
      <c r="E706" s="20" t="s">
        <v>224</v>
      </c>
      <c r="F706" s="2">
        <v>903</v>
      </c>
      <c r="G706" s="10">
        <f>G705</f>
        <v>12446.599999999999</v>
      </c>
      <c r="H706" s="313">
        <f t="shared" ref="H706" si="410">H705</f>
        <v>12446.168750000001</v>
      </c>
      <c r="I706" s="337">
        <f t="shared" si="382"/>
        <v>99.99653519836744</v>
      </c>
    </row>
    <row r="707" spans="1:9" s="210" customFormat="1" ht="36" customHeight="1" x14ac:dyDescent="0.25">
      <c r="A707" s="25" t="s">
        <v>146</v>
      </c>
      <c r="B707" s="20" t="s">
        <v>938</v>
      </c>
      <c r="C707" s="40" t="s">
        <v>279</v>
      </c>
      <c r="D707" s="40" t="s">
        <v>230</v>
      </c>
      <c r="E707" s="20" t="s">
        <v>147</v>
      </c>
      <c r="F707" s="2"/>
      <c r="G707" s="10">
        <f>G708</f>
        <v>2072.9999999999991</v>
      </c>
      <c r="H707" s="313">
        <f t="shared" ref="H707" si="411">H708</f>
        <v>1898.0073600000001</v>
      </c>
      <c r="I707" s="337">
        <f t="shared" si="382"/>
        <v>91.558483357453014</v>
      </c>
    </row>
    <row r="708" spans="1:9" s="210" customFormat="1" ht="29.25" customHeight="1" x14ac:dyDescent="0.25">
      <c r="A708" s="25" t="s">
        <v>148</v>
      </c>
      <c r="B708" s="20" t="s">
        <v>938</v>
      </c>
      <c r="C708" s="40" t="s">
        <v>279</v>
      </c>
      <c r="D708" s="40" t="s">
        <v>230</v>
      </c>
      <c r="E708" s="20" t="s">
        <v>149</v>
      </c>
      <c r="F708" s="2"/>
      <c r="G708" s="10">
        <f>'Пр.4 ведом.20'!G305</f>
        <v>2072.9999999999991</v>
      </c>
      <c r="H708" s="313">
        <f>'Пр.4 ведом.20'!H305</f>
        <v>1898.0073600000001</v>
      </c>
      <c r="I708" s="337">
        <f t="shared" si="382"/>
        <v>91.558483357453014</v>
      </c>
    </row>
    <row r="709" spans="1:9" s="210" customFormat="1" ht="48.2" customHeight="1" x14ac:dyDescent="0.25">
      <c r="A709" s="25" t="s">
        <v>1267</v>
      </c>
      <c r="B709" s="20" t="s">
        <v>938</v>
      </c>
      <c r="C709" s="40" t="s">
        <v>279</v>
      </c>
      <c r="D709" s="40" t="s">
        <v>230</v>
      </c>
      <c r="E709" s="20" t="s">
        <v>149</v>
      </c>
      <c r="F709" s="2">
        <v>903</v>
      </c>
      <c r="G709" s="10">
        <f>G708</f>
        <v>2072.9999999999991</v>
      </c>
      <c r="H709" s="313">
        <f t="shared" ref="H709" si="412">H708</f>
        <v>1898.0073600000001</v>
      </c>
      <c r="I709" s="337">
        <f t="shared" si="382"/>
        <v>91.558483357453014</v>
      </c>
    </row>
    <row r="710" spans="1:9" s="210" customFormat="1" ht="15.75" customHeight="1" x14ac:dyDescent="0.25">
      <c r="A710" s="25" t="s">
        <v>150</v>
      </c>
      <c r="B710" s="20" t="s">
        <v>938</v>
      </c>
      <c r="C710" s="40" t="s">
        <v>279</v>
      </c>
      <c r="D710" s="40" t="s">
        <v>230</v>
      </c>
      <c r="E710" s="20" t="s">
        <v>160</v>
      </c>
      <c r="F710" s="2"/>
      <c r="G710" s="10">
        <f>G711</f>
        <v>73</v>
      </c>
      <c r="H710" s="313">
        <f t="shared" ref="H710" si="413">H711</f>
        <v>72.863</v>
      </c>
      <c r="I710" s="337">
        <f t="shared" si="382"/>
        <v>99.812328767123276</v>
      </c>
    </row>
    <row r="711" spans="1:9" s="210" customFormat="1" ht="15.75" customHeight="1" x14ac:dyDescent="0.25">
      <c r="A711" s="25" t="s">
        <v>725</v>
      </c>
      <c r="B711" s="20" t="s">
        <v>938</v>
      </c>
      <c r="C711" s="40" t="s">
        <v>279</v>
      </c>
      <c r="D711" s="40" t="s">
        <v>230</v>
      </c>
      <c r="E711" s="20" t="s">
        <v>153</v>
      </c>
      <c r="F711" s="2"/>
      <c r="G711" s="10">
        <f>'Пр.4 ведом.20'!G307</f>
        <v>73</v>
      </c>
      <c r="H711" s="313">
        <f>'Пр.4 ведом.20'!H307</f>
        <v>72.863</v>
      </c>
      <c r="I711" s="337">
        <f t="shared" si="382"/>
        <v>99.812328767123276</v>
      </c>
    </row>
    <row r="712" spans="1:9" s="210" customFormat="1" ht="54.75" customHeight="1" x14ac:dyDescent="0.25">
      <c r="A712" s="25" t="s">
        <v>1267</v>
      </c>
      <c r="B712" s="20" t="s">
        <v>938</v>
      </c>
      <c r="C712" s="40" t="s">
        <v>279</v>
      </c>
      <c r="D712" s="40" t="s">
        <v>230</v>
      </c>
      <c r="E712" s="20" t="s">
        <v>153</v>
      </c>
      <c r="F712" s="2">
        <v>903</v>
      </c>
      <c r="G712" s="10">
        <f>G711</f>
        <v>73</v>
      </c>
      <c r="H712" s="313">
        <f t="shared" ref="H712" si="414">H711</f>
        <v>72.863</v>
      </c>
      <c r="I712" s="337">
        <f t="shared" si="382"/>
        <v>99.812328767123276</v>
      </c>
    </row>
    <row r="713" spans="1:9" s="210" customFormat="1" ht="48.2" customHeight="1" x14ac:dyDescent="0.25">
      <c r="A713" s="221" t="s">
        <v>1187</v>
      </c>
      <c r="B713" s="24" t="s">
        <v>942</v>
      </c>
      <c r="C713" s="7"/>
      <c r="D713" s="7"/>
      <c r="E713" s="24"/>
      <c r="F713" s="3"/>
      <c r="G713" s="59">
        <f>G716</f>
        <v>45</v>
      </c>
      <c r="H713" s="325">
        <f t="shared" ref="H713" si="415">H716</f>
        <v>45</v>
      </c>
      <c r="I713" s="4">
        <f t="shared" si="382"/>
        <v>100</v>
      </c>
    </row>
    <row r="714" spans="1:9" s="210" customFormat="1" ht="18" customHeight="1" x14ac:dyDescent="0.25">
      <c r="A714" s="25" t="s">
        <v>278</v>
      </c>
      <c r="B714" s="20" t="s">
        <v>942</v>
      </c>
      <c r="C714" s="40" t="s">
        <v>279</v>
      </c>
      <c r="D714" s="40"/>
      <c r="E714" s="40"/>
      <c r="F714" s="2"/>
      <c r="G714" s="10">
        <f>G715</f>
        <v>45</v>
      </c>
      <c r="H714" s="313">
        <f t="shared" ref="H714:H717" si="416">H715</f>
        <v>45</v>
      </c>
      <c r="I714" s="337">
        <f t="shared" si="382"/>
        <v>100</v>
      </c>
    </row>
    <row r="715" spans="1:9" s="210" customFormat="1" ht="15.75" customHeight="1" x14ac:dyDescent="0.25">
      <c r="A715" s="25" t="s">
        <v>280</v>
      </c>
      <c r="B715" s="20" t="s">
        <v>942</v>
      </c>
      <c r="C715" s="40" t="s">
        <v>279</v>
      </c>
      <c r="D715" s="40" t="s">
        <v>230</v>
      </c>
      <c r="E715" s="40"/>
      <c r="F715" s="2"/>
      <c r="G715" s="10">
        <f>G716</f>
        <v>45</v>
      </c>
      <c r="H715" s="313">
        <f t="shared" si="416"/>
        <v>45</v>
      </c>
      <c r="I715" s="337">
        <f t="shared" si="382"/>
        <v>100</v>
      </c>
    </row>
    <row r="716" spans="1:9" s="210" customFormat="1" ht="15.75" customHeight="1" x14ac:dyDescent="0.25">
      <c r="A716" s="207" t="s">
        <v>829</v>
      </c>
      <c r="B716" s="20" t="s">
        <v>941</v>
      </c>
      <c r="C716" s="40" t="s">
        <v>279</v>
      </c>
      <c r="D716" s="40" t="s">
        <v>230</v>
      </c>
      <c r="E716" s="20"/>
      <c r="F716" s="2"/>
      <c r="G716" s="10">
        <f>G717</f>
        <v>45</v>
      </c>
      <c r="H716" s="313">
        <f t="shared" si="416"/>
        <v>45</v>
      </c>
      <c r="I716" s="337">
        <f t="shared" si="382"/>
        <v>100</v>
      </c>
    </row>
    <row r="717" spans="1:9" s="210" customFormat="1" ht="15.75" customHeight="1" x14ac:dyDescent="0.25">
      <c r="A717" s="25" t="s">
        <v>263</v>
      </c>
      <c r="B717" s="20" t="s">
        <v>941</v>
      </c>
      <c r="C717" s="40" t="s">
        <v>279</v>
      </c>
      <c r="D717" s="40" t="s">
        <v>230</v>
      </c>
      <c r="E717" s="20" t="s">
        <v>264</v>
      </c>
      <c r="F717" s="2"/>
      <c r="G717" s="10">
        <f>G718</f>
        <v>45</v>
      </c>
      <c r="H717" s="313">
        <f t="shared" si="416"/>
        <v>45</v>
      </c>
      <c r="I717" s="337">
        <f t="shared" si="382"/>
        <v>100</v>
      </c>
    </row>
    <row r="718" spans="1:9" s="210" customFormat="1" ht="15.75" customHeight="1" x14ac:dyDescent="0.25">
      <c r="A718" s="25" t="s">
        <v>863</v>
      </c>
      <c r="B718" s="20" t="s">
        <v>941</v>
      </c>
      <c r="C718" s="40" t="s">
        <v>279</v>
      </c>
      <c r="D718" s="40" t="s">
        <v>230</v>
      </c>
      <c r="E718" s="20" t="s">
        <v>862</v>
      </c>
      <c r="F718" s="2"/>
      <c r="G718" s="10">
        <f>'Пр.4 ведом.20'!G311</f>
        <v>45</v>
      </c>
      <c r="H718" s="313">
        <f>'Пр.4 ведом.20'!H311</f>
        <v>45</v>
      </c>
      <c r="I718" s="337">
        <f t="shared" si="382"/>
        <v>100</v>
      </c>
    </row>
    <row r="719" spans="1:9" s="210" customFormat="1" ht="49.7" customHeight="1" x14ac:dyDescent="0.25">
      <c r="A719" s="25" t="s">
        <v>1267</v>
      </c>
      <c r="B719" s="20" t="s">
        <v>941</v>
      </c>
      <c r="C719" s="40" t="s">
        <v>279</v>
      </c>
      <c r="D719" s="40" t="s">
        <v>230</v>
      </c>
      <c r="E719" s="20" t="s">
        <v>862</v>
      </c>
      <c r="F719" s="2">
        <v>903</v>
      </c>
      <c r="G719" s="10">
        <f>G718</f>
        <v>45</v>
      </c>
      <c r="H719" s="313">
        <f t="shared" ref="H719" si="417">H718</f>
        <v>45</v>
      </c>
      <c r="I719" s="337">
        <f t="shared" si="382"/>
        <v>100</v>
      </c>
    </row>
    <row r="720" spans="1:9" s="210" customFormat="1" ht="53.45" customHeight="1" x14ac:dyDescent="0.25">
      <c r="A720" s="226" t="s">
        <v>1166</v>
      </c>
      <c r="B720" s="24" t="s">
        <v>943</v>
      </c>
      <c r="C720" s="7"/>
      <c r="D720" s="7"/>
      <c r="E720" s="24"/>
      <c r="F720" s="3"/>
      <c r="G720" s="59">
        <f>G723</f>
        <v>66.90000000000002</v>
      </c>
      <c r="H720" s="325">
        <f t="shared" ref="H720" si="418">H723</f>
        <v>66.849999999999994</v>
      </c>
      <c r="I720" s="4">
        <f t="shared" si="382"/>
        <v>99.925261584454375</v>
      </c>
    </row>
    <row r="721" spans="1:9" s="210" customFormat="1" ht="16.5" customHeight="1" x14ac:dyDescent="0.25">
      <c r="A721" s="25" t="s">
        <v>278</v>
      </c>
      <c r="B721" s="20" t="s">
        <v>943</v>
      </c>
      <c r="C721" s="40" t="s">
        <v>279</v>
      </c>
      <c r="D721" s="40"/>
      <c r="E721" s="40"/>
      <c r="F721" s="2"/>
      <c r="G721" s="10">
        <f>G722</f>
        <v>66.90000000000002</v>
      </c>
      <c r="H721" s="313">
        <f t="shared" ref="H721:H722" si="419">H722</f>
        <v>66.849999999999994</v>
      </c>
      <c r="I721" s="337">
        <f t="shared" ref="I721:I784" si="420">H721/G721*100</f>
        <v>99.925261584454375</v>
      </c>
    </row>
    <row r="722" spans="1:9" s="210" customFormat="1" ht="16.5" customHeight="1" x14ac:dyDescent="0.25">
      <c r="A722" s="25" t="s">
        <v>280</v>
      </c>
      <c r="B722" s="20" t="s">
        <v>943</v>
      </c>
      <c r="C722" s="40" t="s">
        <v>279</v>
      </c>
      <c r="D722" s="40" t="s">
        <v>230</v>
      </c>
      <c r="E722" s="40"/>
      <c r="F722" s="2"/>
      <c r="G722" s="10">
        <f>G723</f>
        <v>66.90000000000002</v>
      </c>
      <c r="H722" s="313">
        <f t="shared" si="419"/>
        <v>66.849999999999994</v>
      </c>
      <c r="I722" s="337">
        <f t="shared" si="420"/>
        <v>99.925261584454375</v>
      </c>
    </row>
    <row r="723" spans="1:9" s="210" customFormat="1" ht="34.5" customHeight="1" x14ac:dyDescent="0.25">
      <c r="A723" s="31" t="s">
        <v>858</v>
      </c>
      <c r="B723" s="20" t="s">
        <v>944</v>
      </c>
      <c r="C723" s="40" t="s">
        <v>279</v>
      </c>
      <c r="D723" s="40" t="s">
        <v>230</v>
      </c>
      <c r="E723" s="20"/>
      <c r="F723" s="2"/>
      <c r="G723" s="10">
        <f>G724+G727</f>
        <v>66.90000000000002</v>
      </c>
      <c r="H723" s="313">
        <f t="shared" ref="H723" si="421">H724+H727</f>
        <v>66.849999999999994</v>
      </c>
      <c r="I723" s="337">
        <f t="shared" si="420"/>
        <v>99.925261584454375</v>
      </c>
    </row>
    <row r="724" spans="1:9" s="210" customFormat="1" ht="84.2" customHeight="1" x14ac:dyDescent="0.25">
      <c r="A724" s="25" t="s">
        <v>142</v>
      </c>
      <c r="B724" s="20" t="s">
        <v>944</v>
      </c>
      <c r="C724" s="40" t="s">
        <v>279</v>
      </c>
      <c r="D724" s="40" t="s">
        <v>230</v>
      </c>
      <c r="E724" s="20" t="s">
        <v>143</v>
      </c>
      <c r="F724" s="2"/>
      <c r="G724" s="10">
        <f>G725</f>
        <v>66.90000000000002</v>
      </c>
      <c r="H724" s="313">
        <f t="shared" ref="H724" si="422">H725</f>
        <v>66.849999999999994</v>
      </c>
      <c r="I724" s="337">
        <f t="shared" si="420"/>
        <v>99.925261584454375</v>
      </c>
    </row>
    <row r="725" spans="1:9" s="210" customFormat="1" ht="15.75" customHeight="1" x14ac:dyDescent="0.25">
      <c r="A725" s="46" t="s">
        <v>357</v>
      </c>
      <c r="B725" s="20" t="s">
        <v>944</v>
      </c>
      <c r="C725" s="40" t="s">
        <v>279</v>
      </c>
      <c r="D725" s="40" t="s">
        <v>230</v>
      </c>
      <c r="E725" s="20" t="s">
        <v>224</v>
      </c>
      <c r="F725" s="2"/>
      <c r="G725" s="10">
        <f>'Пр.4 ведом.20'!G315</f>
        <v>66.90000000000002</v>
      </c>
      <c r="H725" s="313">
        <f>'Пр.4 ведом.20'!H315</f>
        <v>66.849999999999994</v>
      </c>
      <c r="I725" s="337">
        <f t="shared" si="420"/>
        <v>99.925261584454375</v>
      </c>
    </row>
    <row r="726" spans="1:9" s="210" customFormat="1" ht="49.7" customHeight="1" x14ac:dyDescent="0.25">
      <c r="A726" s="25" t="s">
        <v>1267</v>
      </c>
      <c r="B726" s="20" t="s">
        <v>944</v>
      </c>
      <c r="C726" s="40" t="s">
        <v>279</v>
      </c>
      <c r="D726" s="40" t="s">
        <v>230</v>
      </c>
      <c r="E726" s="20" t="s">
        <v>224</v>
      </c>
      <c r="F726" s="2">
        <v>903</v>
      </c>
      <c r="G726" s="10">
        <f>G725</f>
        <v>66.90000000000002</v>
      </c>
      <c r="H726" s="313">
        <f t="shared" ref="H726" si="423">H725</f>
        <v>66.849999999999994</v>
      </c>
      <c r="I726" s="337">
        <f t="shared" si="420"/>
        <v>99.925261584454375</v>
      </c>
    </row>
    <row r="727" spans="1:9" s="210" customFormat="1" ht="36.75" hidden="1" customHeight="1" x14ac:dyDescent="0.25">
      <c r="A727" s="25" t="s">
        <v>146</v>
      </c>
      <c r="B727" s="20" t="s">
        <v>944</v>
      </c>
      <c r="C727" s="40" t="s">
        <v>279</v>
      </c>
      <c r="D727" s="40" t="s">
        <v>230</v>
      </c>
      <c r="E727" s="20" t="s">
        <v>147</v>
      </c>
      <c r="F727" s="2"/>
      <c r="G727" s="10">
        <f>G728</f>
        <v>0</v>
      </c>
      <c r="H727" s="313">
        <f t="shared" ref="H727" si="424">H728</f>
        <v>0</v>
      </c>
      <c r="I727" s="337" t="e">
        <f t="shared" si="420"/>
        <v>#DIV/0!</v>
      </c>
    </row>
    <row r="728" spans="1:9" s="210" customFormat="1" ht="15.75" hidden="1" customHeight="1" x14ac:dyDescent="0.25">
      <c r="A728" s="25" t="s">
        <v>148</v>
      </c>
      <c r="B728" s="20" t="s">
        <v>944</v>
      </c>
      <c r="C728" s="40" t="s">
        <v>279</v>
      </c>
      <c r="D728" s="40" t="s">
        <v>230</v>
      </c>
      <c r="E728" s="20" t="s">
        <v>149</v>
      </c>
      <c r="F728" s="2"/>
      <c r="G728" s="10">
        <f>'Пр.4 ведом.20'!G317</f>
        <v>0</v>
      </c>
      <c r="H728" s="313">
        <f>'Пр.4 ведом.20'!H317</f>
        <v>0</v>
      </c>
      <c r="I728" s="337" t="e">
        <f t="shared" si="420"/>
        <v>#DIV/0!</v>
      </c>
    </row>
    <row r="729" spans="1:9" s="210" customFormat="1" ht="48.2" hidden="1" customHeight="1" x14ac:dyDescent="0.25">
      <c r="A729" s="25" t="s">
        <v>1267</v>
      </c>
      <c r="B729" s="20" t="s">
        <v>944</v>
      </c>
      <c r="C729" s="40" t="s">
        <v>279</v>
      </c>
      <c r="D729" s="40" t="s">
        <v>230</v>
      </c>
      <c r="E729" s="20" t="s">
        <v>149</v>
      </c>
      <c r="F729" s="2">
        <v>903</v>
      </c>
      <c r="G729" s="10">
        <f>G728</f>
        <v>0</v>
      </c>
      <c r="H729" s="313">
        <f t="shared" ref="H729" si="425">H728</f>
        <v>0</v>
      </c>
      <c r="I729" s="337" t="e">
        <f t="shared" si="420"/>
        <v>#DIV/0!</v>
      </c>
    </row>
    <row r="730" spans="1:9" s="210" customFormat="1" ht="36.75" customHeight="1" x14ac:dyDescent="0.25">
      <c r="A730" s="23" t="s">
        <v>1074</v>
      </c>
      <c r="B730" s="24" t="s">
        <v>949</v>
      </c>
      <c r="C730" s="7"/>
      <c r="D730" s="7"/>
      <c r="E730" s="24"/>
      <c r="F730" s="3"/>
      <c r="G730" s="59">
        <f>G733</f>
        <v>289.29999999999995</v>
      </c>
      <c r="H730" s="325">
        <f t="shared" ref="H730" si="426">H733</f>
        <v>289.14800000000002</v>
      </c>
      <c r="I730" s="4">
        <f t="shared" si="420"/>
        <v>99.947459384721768</v>
      </c>
    </row>
    <row r="731" spans="1:9" s="210" customFormat="1" ht="17.45" customHeight="1" x14ac:dyDescent="0.25">
      <c r="A731" s="25" t="s">
        <v>278</v>
      </c>
      <c r="B731" s="20" t="s">
        <v>949</v>
      </c>
      <c r="C731" s="40" t="s">
        <v>279</v>
      </c>
      <c r="D731" s="40"/>
      <c r="E731" s="40"/>
      <c r="F731" s="2"/>
      <c r="G731" s="10">
        <f>G732</f>
        <v>289.29999999999995</v>
      </c>
      <c r="H731" s="313">
        <f t="shared" ref="H731:H734" si="427">H732</f>
        <v>289.14800000000002</v>
      </c>
      <c r="I731" s="337">
        <f t="shared" si="420"/>
        <v>99.947459384721768</v>
      </c>
    </row>
    <row r="732" spans="1:9" s="210" customFormat="1" ht="18.75" customHeight="1" x14ac:dyDescent="0.25">
      <c r="A732" s="25" t="s">
        <v>280</v>
      </c>
      <c r="B732" s="20" t="s">
        <v>949</v>
      </c>
      <c r="C732" s="40" t="s">
        <v>279</v>
      </c>
      <c r="D732" s="40" t="s">
        <v>230</v>
      </c>
      <c r="E732" s="40"/>
      <c r="F732" s="2"/>
      <c r="G732" s="10">
        <f>G733</f>
        <v>289.29999999999995</v>
      </c>
      <c r="H732" s="313">
        <f t="shared" si="427"/>
        <v>289.14800000000002</v>
      </c>
      <c r="I732" s="337">
        <f t="shared" si="420"/>
        <v>99.947459384721768</v>
      </c>
    </row>
    <row r="733" spans="1:9" s="210" customFormat="1" ht="49.7" customHeight="1" x14ac:dyDescent="0.25">
      <c r="A733" s="25" t="s">
        <v>883</v>
      </c>
      <c r="B733" s="20" t="s">
        <v>1261</v>
      </c>
      <c r="C733" s="40" t="s">
        <v>279</v>
      </c>
      <c r="D733" s="40" t="s">
        <v>230</v>
      </c>
      <c r="E733" s="20"/>
      <c r="F733" s="2"/>
      <c r="G733" s="10">
        <f>G734</f>
        <v>289.29999999999995</v>
      </c>
      <c r="H733" s="313">
        <f t="shared" si="427"/>
        <v>289.14800000000002</v>
      </c>
      <c r="I733" s="337">
        <f t="shared" si="420"/>
        <v>99.947459384721768</v>
      </c>
    </row>
    <row r="734" spans="1:9" s="210" customFormat="1" ht="83.25" customHeight="1" x14ac:dyDescent="0.25">
      <c r="A734" s="25" t="s">
        <v>142</v>
      </c>
      <c r="B734" s="20" t="s">
        <v>1261</v>
      </c>
      <c r="C734" s="40" t="s">
        <v>279</v>
      </c>
      <c r="D734" s="40" t="s">
        <v>230</v>
      </c>
      <c r="E734" s="20" t="s">
        <v>143</v>
      </c>
      <c r="F734" s="2"/>
      <c r="G734" s="10">
        <f>G735</f>
        <v>289.29999999999995</v>
      </c>
      <c r="H734" s="313">
        <f t="shared" si="427"/>
        <v>289.14800000000002</v>
      </c>
      <c r="I734" s="337">
        <f t="shared" si="420"/>
        <v>99.947459384721768</v>
      </c>
    </row>
    <row r="735" spans="1:9" s="210" customFormat="1" ht="36" customHeight="1" x14ac:dyDescent="0.25">
      <c r="A735" s="25" t="s">
        <v>144</v>
      </c>
      <c r="B735" s="20" t="s">
        <v>1261</v>
      </c>
      <c r="C735" s="40" t="s">
        <v>279</v>
      </c>
      <c r="D735" s="40" t="s">
        <v>230</v>
      </c>
      <c r="E735" s="20" t="s">
        <v>224</v>
      </c>
      <c r="F735" s="2"/>
      <c r="G735" s="10">
        <f>'Пр.4 ведом.20'!G321</f>
        <v>289.29999999999995</v>
      </c>
      <c r="H735" s="313">
        <f>'Пр.4 ведом.20'!H321</f>
        <v>289.14800000000002</v>
      </c>
      <c r="I735" s="337">
        <f t="shared" si="420"/>
        <v>99.947459384721768</v>
      </c>
    </row>
    <row r="736" spans="1:9" s="210" customFormat="1" ht="53.45" customHeight="1" x14ac:dyDescent="0.25">
      <c r="A736" s="25" t="s">
        <v>1267</v>
      </c>
      <c r="B736" s="20" t="s">
        <v>1261</v>
      </c>
      <c r="C736" s="40" t="s">
        <v>279</v>
      </c>
      <c r="D736" s="40" t="s">
        <v>230</v>
      </c>
      <c r="E736" s="20" t="s">
        <v>224</v>
      </c>
      <c r="F736" s="2">
        <v>903</v>
      </c>
      <c r="G736" s="10">
        <f>G735</f>
        <v>289.29999999999995</v>
      </c>
      <c r="H736" s="313">
        <f t="shared" ref="H736" si="428">H735</f>
        <v>289.14800000000002</v>
      </c>
      <c r="I736" s="337">
        <f t="shared" si="420"/>
        <v>99.947459384721768</v>
      </c>
    </row>
    <row r="737" spans="1:9" s="210" customFormat="1" ht="48.2" customHeight="1" x14ac:dyDescent="0.25">
      <c r="A737" s="23" t="s">
        <v>969</v>
      </c>
      <c r="B737" s="24" t="s">
        <v>1262</v>
      </c>
      <c r="C737" s="7"/>
      <c r="D737" s="7"/>
      <c r="E737" s="24"/>
      <c r="F737" s="3"/>
      <c r="G737" s="59">
        <f>G744+G748+G752+G740</f>
        <v>1001.7</v>
      </c>
      <c r="H737" s="325">
        <f t="shared" ref="H737" si="429">H744+H748+H752+H740</f>
        <v>717.97045000000003</v>
      </c>
      <c r="I737" s="4">
        <f t="shared" si="420"/>
        <v>71.675197164819807</v>
      </c>
    </row>
    <row r="738" spans="1:9" s="210" customFormat="1" ht="18.75" customHeight="1" x14ac:dyDescent="0.25">
      <c r="A738" s="25" t="s">
        <v>278</v>
      </c>
      <c r="B738" s="20" t="s">
        <v>1262</v>
      </c>
      <c r="C738" s="40" t="s">
        <v>279</v>
      </c>
      <c r="D738" s="40"/>
      <c r="E738" s="40"/>
      <c r="F738" s="2"/>
      <c r="G738" s="10">
        <f>G739</f>
        <v>1001.7</v>
      </c>
      <c r="H738" s="313">
        <f t="shared" ref="H738" si="430">H739</f>
        <v>717.97045000000003</v>
      </c>
      <c r="I738" s="337">
        <f t="shared" si="420"/>
        <v>71.675197164819807</v>
      </c>
    </row>
    <row r="739" spans="1:9" s="210" customFormat="1" ht="19.5" customHeight="1" x14ac:dyDescent="0.25">
      <c r="A739" s="25" t="s">
        <v>280</v>
      </c>
      <c r="B739" s="20" t="s">
        <v>1262</v>
      </c>
      <c r="C739" s="40" t="s">
        <v>279</v>
      </c>
      <c r="D739" s="40" t="s">
        <v>230</v>
      </c>
      <c r="E739" s="40"/>
      <c r="F739" s="2"/>
      <c r="G739" s="10">
        <f>G744+G748+G752+G740</f>
        <v>1001.7</v>
      </c>
      <c r="H739" s="313">
        <f t="shared" ref="H739" si="431">H744+H748+H752+H740</f>
        <v>717.97045000000003</v>
      </c>
      <c r="I739" s="337">
        <f t="shared" si="420"/>
        <v>71.675197164819807</v>
      </c>
    </row>
    <row r="740" spans="1:9" s="309" customFormat="1" ht="94.5" x14ac:dyDescent="0.25">
      <c r="A740" s="31" t="s">
        <v>308</v>
      </c>
      <c r="B740" s="316" t="s">
        <v>1508</v>
      </c>
      <c r="C740" s="324" t="s">
        <v>279</v>
      </c>
      <c r="D740" s="324" t="s">
        <v>230</v>
      </c>
      <c r="E740" s="324"/>
      <c r="F740" s="2"/>
      <c r="G740" s="313">
        <f>G741</f>
        <v>422.5</v>
      </c>
      <c r="H740" s="313">
        <f t="shared" ref="H740:H741" si="432">H741</f>
        <v>233.88013000000001</v>
      </c>
      <c r="I740" s="337">
        <f t="shared" si="420"/>
        <v>55.356243786982247</v>
      </c>
    </row>
    <row r="741" spans="1:9" s="309" customFormat="1" ht="78.75" x14ac:dyDescent="0.25">
      <c r="A741" s="320" t="s">
        <v>142</v>
      </c>
      <c r="B741" s="316" t="s">
        <v>1508</v>
      </c>
      <c r="C741" s="324" t="s">
        <v>279</v>
      </c>
      <c r="D741" s="324" t="s">
        <v>230</v>
      </c>
      <c r="E741" s="324" t="s">
        <v>143</v>
      </c>
      <c r="F741" s="2"/>
      <c r="G741" s="313">
        <f>G742</f>
        <v>422.5</v>
      </c>
      <c r="H741" s="313">
        <f t="shared" si="432"/>
        <v>233.88013000000001</v>
      </c>
      <c r="I741" s="337">
        <f t="shared" si="420"/>
        <v>55.356243786982247</v>
      </c>
    </row>
    <row r="742" spans="1:9" s="309" customFormat="1" ht="15.75" x14ac:dyDescent="0.25">
      <c r="A742" s="46" t="s">
        <v>357</v>
      </c>
      <c r="B742" s="316" t="s">
        <v>1508</v>
      </c>
      <c r="C742" s="324" t="s">
        <v>279</v>
      </c>
      <c r="D742" s="324" t="s">
        <v>230</v>
      </c>
      <c r="E742" s="324" t="s">
        <v>224</v>
      </c>
      <c r="F742" s="2"/>
      <c r="G742" s="313">
        <f>'Пр.4 ведом.20'!G325</f>
        <v>422.5</v>
      </c>
      <c r="H742" s="313">
        <f>'Пр.4 ведом.20'!H325</f>
        <v>233.88013000000001</v>
      </c>
      <c r="I742" s="337">
        <f t="shared" si="420"/>
        <v>55.356243786982247</v>
      </c>
    </row>
    <row r="743" spans="1:9" s="309" customFormat="1" ht="47.25" x14ac:dyDescent="0.25">
      <c r="A743" s="320" t="s">
        <v>1267</v>
      </c>
      <c r="B743" s="316" t="s">
        <v>1508</v>
      </c>
      <c r="C743" s="324" t="s">
        <v>279</v>
      </c>
      <c r="D743" s="324" t="s">
        <v>230</v>
      </c>
      <c r="E743" s="324" t="s">
        <v>224</v>
      </c>
      <c r="F743" s="2">
        <v>903</v>
      </c>
      <c r="G743" s="313">
        <f>G740</f>
        <v>422.5</v>
      </c>
      <c r="H743" s="313">
        <f t="shared" ref="H743" si="433">H740</f>
        <v>233.88013000000001</v>
      </c>
      <c r="I743" s="337">
        <f t="shared" si="420"/>
        <v>55.356243786982247</v>
      </c>
    </row>
    <row r="744" spans="1:9" s="210" customFormat="1" ht="66.75" customHeight="1" x14ac:dyDescent="0.25">
      <c r="A744" s="31" t="s">
        <v>304</v>
      </c>
      <c r="B744" s="20" t="s">
        <v>1263</v>
      </c>
      <c r="C744" s="40" t="s">
        <v>279</v>
      </c>
      <c r="D744" s="40" t="s">
        <v>230</v>
      </c>
      <c r="E744" s="20"/>
      <c r="F744" s="2"/>
      <c r="G744" s="10">
        <f>G745</f>
        <v>100.8</v>
      </c>
      <c r="H744" s="313">
        <f t="shared" ref="H744:H745" si="434">H745</f>
        <v>77.224360000000004</v>
      </c>
      <c r="I744" s="337">
        <f t="shared" si="420"/>
        <v>76.611468253968269</v>
      </c>
    </row>
    <row r="745" spans="1:9" s="210" customFormat="1" ht="87.75" customHeight="1" x14ac:dyDescent="0.25">
      <c r="A745" s="25" t="s">
        <v>142</v>
      </c>
      <c r="B745" s="20" t="s">
        <v>1263</v>
      </c>
      <c r="C745" s="40" t="s">
        <v>279</v>
      </c>
      <c r="D745" s="40" t="s">
        <v>230</v>
      </c>
      <c r="E745" s="20" t="s">
        <v>143</v>
      </c>
      <c r="F745" s="2"/>
      <c r="G745" s="10">
        <f>G746</f>
        <v>100.8</v>
      </c>
      <c r="H745" s="313">
        <f t="shared" si="434"/>
        <v>77.224360000000004</v>
      </c>
      <c r="I745" s="337">
        <f t="shared" si="420"/>
        <v>76.611468253968269</v>
      </c>
    </row>
    <row r="746" spans="1:9" s="210" customFormat="1" ht="18.75" customHeight="1" x14ac:dyDescent="0.25">
      <c r="A746" s="46" t="s">
        <v>357</v>
      </c>
      <c r="B746" s="20" t="s">
        <v>1263</v>
      </c>
      <c r="C746" s="40" t="s">
        <v>279</v>
      </c>
      <c r="D746" s="40" t="s">
        <v>230</v>
      </c>
      <c r="E746" s="20" t="s">
        <v>224</v>
      </c>
      <c r="F746" s="2"/>
      <c r="G746" s="10">
        <f>'Пр.4 ведом.20'!G328</f>
        <v>100.8</v>
      </c>
      <c r="H746" s="313">
        <f>'Пр.4 ведом.20'!H328</f>
        <v>77.224360000000004</v>
      </c>
      <c r="I746" s="337">
        <f t="shared" si="420"/>
        <v>76.611468253968269</v>
      </c>
    </row>
    <row r="747" spans="1:9" s="210" customFormat="1" ht="55.5" customHeight="1" x14ac:dyDescent="0.25">
      <c r="A747" s="25" t="s">
        <v>1267</v>
      </c>
      <c r="B747" s="20" t="s">
        <v>1263</v>
      </c>
      <c r="C747" s="40" t="s">
        <v>279</v>
      </c>
      <c r="D747" s="40" t="s">
        <v>230</v>
      </c>
      <c r="E747" s="20" t="s">
        <v>224</v>
      </c>
      <c r="F747" s="2">
        <v>903</v>
      </c>
      <c r="G747" s="10">
        <f>G746</f>
        <v>100.8</v>
      </c>
      <c r="H747" s="313">
        <f t="shared" ref="H747" si="435">H746</f>
        <v>77.224360000000004</v>
      </c>
      <c r="I747" s="337">
        <f t="shared" si="420"/>
        <v>76.611468253968269</v>
      </c>
    </row>
    <row r="748" spans="1:9" s="210" customFormat="1" ht="70.5" customHeight="1" x14ac:dyDescent="0.25">
      <c r="A748" s="31" t="s">
        <v>306</v>
      </c>
      <c r="B748" s="20" t="s">
        <v>1264</v>
      </c>
      <c r="C748" s="40" t="s">
        <v>279</v>
      </c>
      <c r="D748" s="40" t="s">
        <v>230</v>
      </c>
      <c r="E748" s="20"/>
      <c r="F748" s="2"/>
      <c r="G748" s="10">
        <f>G749</f>
        <v>298.40000000000003</v>
      </c>
      <c r="H748" s="313">
        <f t="shared" ref="H748:H749" si="436">H749</f>
        <v>226.86596</v>
      </c>
      <c r="I748" s="337">
        <f t="shared" si="420"/>
        <v>76.027466487935641</v>
      </c>
    </row>
    <row r="749" spans="1:9" s="210" customFormat="1" ht="88.5" customHeight="1" x14ac:dyDescent="0.25">
      <c r="A749" s="25" t="s">
        <v>142</v>
      </c>
      <c r="B749" s="20" t="s">
        <v>1264</v>
      </c>
      <c r="C749" s="40" t="s">
        <v>279</v>
      </c>
      <c r="D749" s="40" t="s">
        <v>230</v>
      </c>
      <c r="E749" s="20" t="s">
        <v>143</v>
      </c>
      <c r="F749" s="2"/>
      <c r="G749" s="10">
        <f>G750</f>
        <v>298.40000000000003</v>
      </c>
      <c r="H749" s="313">
        <f t="shared" si="436"/>
        <v>226.86596</v>
      </c>
      <c r="I749" s="337">
        <f t="shared" si="420"/>
        <v>76.027466487935641</v>
      </c>
    </row>
    <row r="750" spans="1:9" s="210" customFormat="1" ht="20.25" customHeight="1" x14ac:dyDescent="0.25">
      <c r="A750" s="46" t="s">
        <v>357</v>
      </c>
      <c r="B750" s="20" t="s">
        <v>1264</v>
      </c>
      <c r="C750" s="40" t="s">
        <v>279</v>
      </c>
      <c r="D750" s="40" t="s">
        <v>230</v>
      </c>
      <c r="E750" s="20" t="s">
        <v>224</v>
      </c>
      <c r="F750" s="2"/>
      <c r="G750" s="10">
        <f>'Пр.4 ведом.20'!G331</f>
        <v>298.40000000000003</v>
      </c>
      <c r="H750" s="313">
        <f>'Пр.4 ведом.20'!H331</f>
        <v>226.86596</v>
      </c>
      <c r="I750" s="337">
        <f t="shared" si="420"/>
        <v>76.027466487935641</v>
      </c>
    </row>
    <row r="751" spans="1:9" s="210" customFormat="1" ht="51.75" customHeight="1" x14ac:dyDescent="0.25">
      <c r="A751" s="25" t="s">
        <v>1267</v>
      </c>
      <c r="B751" s="20" t="s">
        <v>1264</v>
      </c>
      <c r="C751" s="40" t="s">
        <v>279</v>
      </c>
      <c r="D751" s="40" t="s">
        <v>230</v>
      </c>
      <c r="E751" s="20" t="s">
        <v>224</v>
      </c>
      <c r="F751" s="2">
        <v>903</v>
      </c>
      <c r="G751" s="10">
        <f>G750</f>
        <v>298.40000000000003</v>
      </c>
      <c r="H751" s="313">
        <f t="shared" ref="H751" si="437">H750</f>
        <v>226.86596</v>
      </c>
      <c r="I751" s="337">
        <f t="shared" si="420"/>
        <v>76.027466487935641</v>
      </c>
    </row>
    <row r="752" spans="1:9" s="210" customFormat="1" ht="96" customHeight="1" x14ac:dyDescent="0.25">
      <c r="A752" s="31" t="s">
        <v>308</v>
      </c>
      <c r="B752" s="20" t="s">
        <v>1265</v>
      </c>
      <c r="C752" s="40" t="s">
        <v>279</v>
      </c>
      <c r="D752" s="40" t="s">
        <v>230</v>
      </c>
      <c r="E752" s="20"/>
      <c r="F752" s="2"/>
      <c r="G752" s="10">
        <f>G753</f>
        <v>180</v>
      </c>
      <c r="H752" s="313">
        <f t="shared" ref="H752:H753" si="438">H753</f>
        <v>180</v>
      </c>
      <c r="I752" s="337">
        <f t="shared" si="420"/>
        <v>100</v>
      </c>
    </row>
    <row r="753" spans="1:9" s="210" customFormat="1" ht="79.5" customHeight="1" x14ac:dyDescent="0.25">
      <c r="A753" s="25" t="s">
        <v>142</v>
      </c>
      <c r="B753" s="20" t="s">
        <v>1265</v>
      </c>
      <c r="C753" s="40" t="s">
        <v>279</v>
      </c>
      <c r="D753" s="40" t="s">
        <v>230</v>
      </c>
      <c r="E753" s="20" t="s">
        <v>143</v>
      </c>
      <c r="F753" s="2"/>
      <c r="G753" s="10">
        <f>G754</f>
        <v>180</v>
      </c>
      <c r="H753" s="313">
        <f t="shared" si="438"/>
        <v>180</v>
      </c>
      <c r="I753" s="337">
        <f t="shared" si="420"/>
        <v>100</v>
      </c>
    </row>
    <row r="754" spans="1:9" s="210" customFormat="1" ht="15.75" customHeight="1" x14ac:dyDescent="0.25">
      <c r="A754" s="46" t="s">
        <v>357</v>
      </c>
      <c r="B754" s="20" t="s">
        <v>1265</v>
      </c>
      <c r="C754" s="40" t="s">
        <v>279</v>
      </c>
      <c r="D754" s="40" t="s">
        <v>230</v>
      </c>
      <c r="E754" s="20" t="s">
        <v>224</v>
      </c>
      <c r="F754" s="2"/>
      <c r="G754" s="10">
        <f>'Пр.4 ведом.20'!G334</f>
        <v>180</v>
      </c>
      <c r="H754" s="313">
        <f>'Пр.4 ведом.20'!H334</f>
        <v>180</v>
      </c>
      <c r="I754" s="337">
        <f t="shared" si="420"/>
        <v>100</v>
      </c>
    </row>
    <row r="755" spans="1:9" s="210" customFormat="1" ht="49.7" customHeight="1" x14ac:dyDescent="0.25">
      <c r="A755" s="25" t="s">
        <v>1267</v>
      </c>
      <c r="B755" s="20" t="s">
        <v>1265</v>
      </c>
      <c r="C755" s="40" t="s">
        <v>279</v>
      </c>
      <c r="D755" s="40" t="s">
        <v>230</v>
      </c>
      <c r="E755" s="20" t="s">
        <v>224</v>
      </c>
      <c r="F755" s="2">
        <v>903</v>
      </c>
      <c r="G755" s="10">
        <f>G754</f>
        <v>180</v>
      </c>
      <c r="H755" s="313">
        <f t="shared" ref="H755" si="439">H754</f>
        <v>180</v>
      </c>
      <c r="I755" s="337">
        <f t="shared" si="420"/>
        <v>100</v>
      </c>
    </row>
    <row r="756" spans="1:9" s="1" customFormat="1" ht="66.2" customHeight="1" x14ac:dyDescent="0.25">
      <c r="A756" s="41" t="s">
        <v>819</v>
      </c>
      <c r="B756" s="7" t="s">
        <v>339</v>
      </c>
      <c r="C756" s="72"/>
      <c r="D756" s="72"/>
      <c r="E756" s="72"/>
      <c r="F756" s="72"/>
      <c r="G756" s="59">
        <f>G757</f>
        <v>335.5</v>
      </c>
      <c r="H756" s="325">
        <f t="shared" ref="H756" si="440">H757</f>
        <v>335.4</v>
      </c>
      <c r="I756" s="4">
        <f t="shared" si="420"/>
        <v>99.970193740685545</v>
      </c>
    </row>
    <row r="757" spans="1:9" s="211" customFormat="1" ht="64.5" customHeight="1" x14ac:dyDescent="0.25">
      <c r="A757" s="34" t="s">
        <v>1189</v>
      </c>
      <c r="B757" s="7" t="s">
        <v>1023</v>
      </c>
      <c r="C757" s="7"/>
      <c r="D757" s="7"/>
      <c r="E757" s="72"/>
      <c r="F757" s="72"/>
      <c r="G757" s="59">
        <f>G758+G764+G775+G781</f>
        <v>335.5</v>
      </c>
      <c r="H757" s="325">
        <f t="shared" ref="H757" si="441">H758+H764+H775+H781</f>
        <v>335.4</v>
      </c>
      <c r="I757" s="4">
        <f t="shared" si="420"/>
        <v>99.970193740685545</v>
      </c>
    </row>
    <row r="758" spans="1:9" s="211" customFormat="1" ht="18.75" customHeight="1" x14ac:dyDescent="0.25">
      <c r="A758" s="31" t="s">
        <v>405</v>
      </c>
      <c r="B758" s="40" t="s">
        <v>1023</v>
      </c>
      <c r="C758" s="40" t="s">
        <v>249</v>
      </c>
      <c r="D758" s="40"/>
      <c r="E758" s="72"/>
      <c r="F758" s="72"/>
      <c r="G758" s="10">
        <f>G759</f>
        <v>8.1000000000000014</v>
      </c>
      <c r="H758" s="313">
        <f t="shared" ref="H758:H762" si="442">H759</f>
        <v>8</v>
      </c>
      <c r="I758" s="337">
        <f t="shared" si="420"/>
        <v>98.765432098765416</v>
      </c>
    </row>
    <row r="759" spans="1:9" s="211" customFormat="1" ht="37.5" customHeight="1" x14ac:dyDescent="0.25">
      <c r="A759" s="31" t="s">
        <v>584</v>
      </c>
      <c r="B759" s="40" t="s">
        <v>1023</v>
      </c>
      <c r="C759" s="40" t="s">
        <v>249</v>
      </c>
      <c r="D759" s="40" t="s">
        <v>249</v>
      </c>
      <c r="E759" s="72"/>
      <c r="F759" s="72"/>
      <c r="G759" s="10">
        <f>G760</f>
        <v>8.1000000000000014</v>
      </c>
      <c r="H759" s="313">
        <f t="shared" si="442"/>
        <v>8</v>
      </c>
      <c r="I759" s="337">
        <f t="shared" si="420"/>
        <v>98.765432098765416</v>
      </c>
    </row>
    <row r="760" spans="1:9" s="211" customFormat="1" ht="51.75" customHeight="1" x14ac:dyDescent="0.25">
      <c r="A760" s="31" t="s">
        <v>1271</v>
      </c>
      <c r="B760" s="20" t="s">
        <v>1190</v>
      </c>
      <c r="C760" s="40" t="s">
        <v>249</v>
      </c>
      <c r="D760" s="40" t="s">
        <v>249</v>
      </c>
      <c r="E760" s="72"/>
      <c r="F760" s="72"/>
      <c r="G760" s="10">
        <f>G761</f>
        <v>8.1000000000000014</v>
      </c>
      <c r="H760" s="313">
        <f t="shared" si="442"/>
        <v>8</v>
      </c>
      <c r="I760" s="337">
        <f t="shared" si="420"/>
        <v>98.765432098765416</v>
      </c>
    </row>
    <row r="761" spans="1:9" s="211" customFormat="1" ht="35.450000000000003" customHeight="1" x14ac:dyDescent="0.25">
      <c r="A761" s="25" t="s">
        <v>146</v>
      </c>
      <c r="B761" s="20" t="s">
        <v>1190</v>
      </c>
      <c r="C761" s="40" t="s">
        <v>249</v>
      </c>
      <c r="D761" s="40" t="s">
        <v>249</v>
      </c>
      <c r="E761" s="2">
        <v>200</v>
      </c>
      <c r="F761" s="72"/>
      <c r="G761" s="10">
        <f>G762</f>
        <v>8.1000000000000014</v>
      </c>
      <c r="H761" s="313">
        <f t="shared" si="442"/>
        <v>8</v>
      </c>
      <c r="I761" s="337">
        <f t="shared" si="420"/>
        <v>98.765432098765416</v>
      </c>
    </row>
    <row r="762" spans="1:9" s="211" customFormat="1" ht="34.5" customHeight="1" x14ac:dyDescent="0.25">
      <c r="A762" s="25" t="s">
        <v>148</v>
      </c>
      <c r="B762" s="20" t="s">
        <v>1190</v>
      </c>
      <c r="C762" s="40" t="s">
        <v>249</v>
      </c>
      <c r="D762" s="40" t="s">
        <v>249</v>
      </c>
      <c r="E762" s="2">
        <v>240</v>
      </c>
      <c r="F762" s="72"/>
      <c r="G762" s="10">
        <f>G763</f>
        <v>8.1000000000000014</v>
      </c>
      <c r="H762" s="313">
        <f t="shared" si="442"/>
        <v>8</v>
      </c>
      <c r="I762" s="337">
        <f t="shared" si="420"/>
        <v>98.765432098765416</v>
      </c>
    </row>
    <row r="763" spans="1:9" s="211" customFormat="1" ht="52.5" customHeight="1" x14ac:dyDescent="0.25">
      <c r="A763" s="31" t="s">
        <v>1302</v>
      </c>
      <c r="B763" s="20" t="s">
        <v>1190</v>
      </c>
      <c r="C763" s="40" t="s">
        <v>249</v>
      </c>
      <c r="D763" s="40" t="s">
        <v>249</v>
      </c>
      <c r="E763" s="2">
        <v>240</v>
      </c>
      <c r="F763" s="2">
        <v>908</v>
      </c>
      <c r="G763" s="10">
        <f>'Пр.4 ведом.20'!G1186</f>
        <v>8.1000000000000014</v>
      </c>
      <c r="H763" s="313">
        <f>'Пр.4 ведом.20'!H1186</f>
        <v>8</v>
      </c>
      <c r="I763" s="337">
        <f t="shared" si="420"/>
        <v>98.765432098765416</v>
      </c>
    </row>
    <row r="764" spans="1:9" s="1" customFormat="1" ht="15.75" x14ac:dyDescent="0.25">
      <c r="A764" s="25" t="s">
        <v>278</v>
      </c>
      <c r="B764" s="40" t="s">
        <v>1023</v>
      </c>
      <c r="C764" s="40" t="s">
        <v>279</v>
      </c>
      <c r="D764" s="73"/>
      <c r="E764" s="73"/>
      <c r="F764" s="73"/>
      <c r="G764" s="10">
        <f>G765+G770</f>
        <v>150</v>
      </c>
      <c r="H764" s="313">
        <f t="shared" ref="H764" si="443">H765+H770</f>
        <v>150</v>
      </c>
      <c r="I764" s="337">
        <f t="shared" si="420"/>
        <v>100</v>
      </c>
    </row>
    <row r="765" spans="1:9" s="1" customFormat="1" ht="15.75" hidden="1" x14ac:dyDescent="0.25">
      <c r="A765" s="25" t="s">
        <v>419</v>
      </c>
      <c r="B765" s="40" t="s">
        <v>1023</v>
      </c>
      <c r="C765" s="40" t="s">
        <v>279</v>
      </c>
      <c r="D765" s="40" t="s">
        <v>133</v>
      </c>
      <c r="E765" s="73"/>
      <c r="F765" s="73"/>
      <c r="G765" s="10">
        <f>G766</f>
        <v>0</v>
      </c>
      <c r="H765" s="313">
        <f t="shared" ref="H765:H767" si="444">H766</f>
        <v>0</v>
      </c>
      <c r="I765" s="337" t="e">
        <f t="shared" si="420"/>
        <v>#DIV/0!</v>
      </c>
    </row>
    <row r="766" spans="1:9" s="1" customFormat="1" ht="47.25" hidden="1" x14ac:dyDescent="0.25">
      <c r="A766" s="31" t="s">
        <v>1272</v>
      </c>
      <c r="B766" s="20" t="s">
        <v>1024</v>
      </c>
      <c r="C766" s="40" t="s">
        <v>279</v>
      </c>
      <c r="D766" s="40" t="s">
        <v>133</v>
      </c>
      <c r="E766" s="72"/>
      <c r="F766" s="72"/>
      <c r="G766" s="10">
        <f>G767</f>
        <v>0</v>
      </c>
      <c r="H766" s="313">
        <f t="shared" si="444"/>
        <v>0</v>
      </c>
      <c r="I766" s="337" t="e">
        <f t="shared" si="420"/>
        <v>#DIV/0!</v>
      </c>
    </row>
    <row r="767" spans="1:9" s="1" customFormat="1" ht="31.5" hidden="1" x14ac:dyDescent="0.25">
      <c r="A767" s="31" t="s">
        <v>287</v>
      </c>
      <c r="B767" s="20" t="s">
        <v>1024</v>
      </c>
      <c r="C767" s="40" t="s">
        <v>279</v>
      </c>
      <c r="D767" s="40" t="s">
        <v>133</v>
      </c>
      <c r="E767" s="40" t="s">
        <v>288</v>
      </c>
      <c r="F767" s="72"/>
      <c r="G767" s="10">
        <f>G768</f>
        <v>0</v>
      </c>
      <c r="H767" s="313">
        <f t="shared" si="444"/>
        <v>0</v>
      </c>
      <c r="I767" s="337" t="e">
        <f t="shared" si="420"/>
        <v>#DIV/0!</v>
      </c>
    </row>
    <row r="768" spans="1:9" s="1" customFormat="1" ht="15.75" hidden="1" x14ac:dyDescent="0.25">
      <c r="A768" s="31" t="s">
        <v>289</v>
      </c>
      <c r="B768" s="20" t="s">
        <v>1024</v>
      </c>
      <c r="C768" s="40" t="s">
        <v>279</v>
      </c>
      <c r="D768" s="40" t="s">
        <v>133</v>
      </c>
      <c r="E768" s="40" t="s">
        <v>290</v>
      </c>
      <c r="F768" s="72"/>
      <c r="G768" s="10">
        <f>'Пр.4 ведом.20'!G651</f>
        <v>0</v>
      </c>
      <c r="H768" s="313">
        <f>'Пр.4 ведом.20'!H651</f>
        <v>0</v>
      </c>
      <c r="I768" s="337" t="e">
        <f t="shared" si="420"/>
        <v>#DIV/0!</v>
      </c>
    </row>
    <row r="769" spans="1:9" s="211" customFormat="1" ht="31.5" hidden="1" x14ac:dyDescent="0.25">
      <c r="A769" s="31" t="s">
        <v>418</v>
      </c>
      <c r="B769" s="20" t="s">
        <v>1024</v>
      </c>
      <c r="C769" s="40" t="s">
        <v>279</v>
      </c>
      <c r="D769" s="40" t="s">
        <v>133</v>
      </c>
      <c r="E769" s="40" t="s">
        <v>290</v>
      </c>
      <c r="F769" s="2">
        <v>906</v>
      </c>
      <c r="G769" s="10">
        <f>G768</f>
        <v>0</v>
      </c>
      <c r="H769" s="313">
        <f t="shared" ref="H769" si="445">H768</f>
        <v>0</v>
      </c>
      <c r="I769" s="337" t="e">
        <f t="shared" si="420"/>
        <v>#DIV/0!</v>
      </c>
    </row>
    <row r="770" spans="1:9" s="1" customFormat="1" ht="15.75" x14ac:dyDescent="0.25">
      <c r="A770" s="29" t="s">
        <v>440</v>
      </c>
      <c r="B770" s="40" t="s">
        <v>1023</v>
      </c>
      <c r="C770" s="40" t="s">
        <v>279</v>
      </c>
      <c r="D770" s="40" t="s">
        <v>228</v>
      </c>
      <c r="E770" s="40"/>
      <c r="F770" s="73"/>
      <c r="G770" s="10">
        <f>G771</f>
        <v>150</v>
      </c>
      <c r="H770" s="313">
        <f t="shared" ref="H770:H772" si="446">H771</f>
        <v>150</v>
      </c>
      <c r="I770" s="337">
        <f t="shared" si="420"/>
        <v>100</v>
      </c>
    </row>
    <row r="771" spans="1:9" s="1" customFormat="1" ht="47.25" x14ac:dyDescent="0.25">
      <c r="A771" s="31" t="s">
        <v>1272</v>
      </c>
      <c r="B771" s="20" t="s">
        <v>1024</v>
      </c>
      <c r="C771" s="40" t="s">
        <v>279</v>
      </c>
      <c r="D771" s="40" t="s">
        <v>228</v>
      </c>
      <c r="E771" s="40"/>
      <c r="F771" s="72"/>
      <c r="G771" s="10">
        <f>G772</f>
        <v>150</v>
      </c>
      <c r="H771" s="313">
        <f t="shared" si="446"/>
        <v>150</v>
      </c>
      <c r="I771" s="337">
        <f t="shared" si="420"/>
        <v>100</v>
      </c>
    </row>
    <row r="772" spans="1:9" s="1" customFormat="1" ht="31.5" x14ac:dyDescent="0.25">
      <c r="A772" s="31" t="s">
        <v>287</v>
      </c>
      <c r="B772" s="20" t="s">
        <v>1024</v>
      </c>
      <c r="C772" s="40" t="s">
        <v>279</v>
      </c>
      <c r="D772" s="40" t="s">
        <v>228</v>
      </c>
      <c r="E772" s="40" t="s">
        <v>288</v>
      </c>
      <c r="F772" s="72"/>
      <c r="G772" s="10">
        <f>G773</f>
        <v>150</v>
      </c>
      <c r="H772" s="313">
        <f t="shared" si="446"/>
        <v>150</v>
      </c>
      <c r="I772" s="337">
        <f t="shared" si="420"/>
        <v>100</v>
      </c>
    </row>
    <row r="773" spans="1:9" s="1" customFormat="1" ht="15.75" x14ac:dyDescent="0.25">
      <c r="A773" s="31" t="s">
        <v>289</v>
      </c>
      <c r="B773" s="20" t="s">
        <v>1024</v>
      </c>
      <c r="C773" s="40" t="s">
        <v>279</v>
      </c>
      <c r="D773" s="40" t="s">
        <v>228</v>
      </c>
      <c r="E773" s="40" t="s">
        <v>290</v>
      </c>
      <c r="F773" s="72"/>
      <c r="G773" s="10">
        <f>'Пр.4 ведом.20'!G766</f>
        <v>150</v>
      </c>
      <c r="H773" s="313">
        <f>'Пр.4 ведом.20'!H766</f>
        <v>150</v>
      </c>
      <c r="I773" s="337">
        <f t="shared" si="420"/>
        <v>100</v>
      </c>
    </row>
    <row r="774" spans="1:9" s="1" customFormat="1" ht="31.5" x14ac:dyDescent="0.25">
      <c r="A774" s="31" t="s">
        <v>418</v>
      </c>
      <c r="B774" s="20" t="s">
        <v>1024</v>
      </c>
      <c r="C774" s="40" t="s">
        <v>279</v>
      </c>
      <c r="D774" s="40" t="s">
        <v>228</v>
      </c>
      <c r="E774" s="40" t="s">
        <v>290</v>
      </c>
      <c r="F774" s="2">
        <v>906</v>
      </c>
      <c r="G774" s="10">
        <f>G773</f>
        <v>150</v>
      </c>
      <c r="H774" s="313">
        <f t="shared" ref="H774" si="447">H773</f>
        <v>150</v>
      </c>
      <c r="I774" s="337">
        <f t="shared" si="420"/>
        <v>100</v>
      </c>
    </row>
    <row r="775" spans="1:9" s="211" customFormat="1" ht="15.75" x14ac:dyDescent="0.25">
      <c r="A775" s="31" t="s">
        <v>313</v>
      </c>
      <c r="B775" s="20" t="s">
        <v>1023</v>
      </c>
      <c r="C775" s="40" t="s">
        <v>314</v>
      </c>
      <c r="D775" s="40"/>
      <c r="E775" s="40"/>
      <c r="F775" s="2"/>
      <c r="G775" s="10">
        <f>G776</f>
        <v>100</v>
      </c>
      <c r="H775" s="313">
        <f t="shared" ref="H775:H778" si="448">H776</f>
        <v>100</v>
      </c>
      <c r="I775" s="337">
        <f t="shared" si="420"/>
        <v>100</v>
      </c>
    </row>
    <row r="776" spans="1:9" s="211" customFormat="1" ht="15.75" x14ac:dyDescent="0.25">
      <c r="A776" s="31" t="s">
        <v>315</v>
      </c>
      <c r="B776" s="20" t="s">
        <v>1023</v>
      </c>
      <c r="C776" s="40" t="s">
        <v>314</v>
      </c>
      <c r="D776" s="40" t="s">
        <v>133</v>
      </c>
      <c r="E776" s="40"/>
      <c r="F776" s="2"/>
      <c r="G776" s="10">
        <f>G777</f>
        <v>100</v>
      </c>
      <c r="H776" s="313">
        <f t="shared" si="448"/>
        <v>100</v>
      </c>
      <c r="I776" s="337">
        <f t="shared" si="420"/>
        <v>100</v>
      </c>
    </row>
    <row r="777" spans="1:9" s="211" customFormat="1" ht="47.25" x14ac:dyDescent="0.25">
      <c r="A777" s="31" t="s">
        <v>1271</v>
      </c>
      <c r="B777" s="20" t="s">
        <v>1190</v>
      </c>
      <c r="C777" s="40" t="s">
        <v>314</v>
      </c>
      <c r="D777" s="40" t="s">
        <v>133</v>
      </c>
      <c r="E777" s="40"/>
      <c r="F777" s="2"/>
      <c r="G777" s="10">
        <f>G778</f>
        <v>100</v>
      </c>
      <c r="H777" s="313">
        <f t="shared" si="448"/>
        <v>100</v>
      </c>
      <c r="I777" s="337">
        <f t="shared" si="420"/>
        <v>100</v>
      </c>
    </row>
    <row r="778" spans="1:9" s="211" customFormat="1" ht="31.5" x14ac:dyDescent="0.25">
      <c r="A778" s="25" t="s">
        <v>146</v>
      </c>
      <c r="B778" s="20" t="s">
        <v>1190</v>
      </c>
      <c r="C778" s="40" t="s">
        <v>314</v>
      </c>
      <c r="D778" s="40" t="s">
        <v>133</v>
      </c>
      <c r="E778" s="40" t="s">
        <v>147</v>
      </c>
      <c r="F778" s="2"/>
      <c r="G778" s="10">
        <f>G779</f>
        <v>100</v>
      </c>
      <c r="H778" s="313">
        <f t="shared" si="448"/>
        <v>100</v>
      </c>
      <c r="I778" s="337">
        <f t="shared" si="420"/>
        <v>100</v>
      </c>
    </row>
    <row r="779" spans="1:9" s="211" customFormat="1" ht="31.5" x14ac:dyDescent="0.25">
      <c r="A779" s="25" t="s">
        <v>148</v>
      </c>
      <c r="B779" s="20" t="s">
        <v>1190</v>
      </c>
      <c r="C779" s="40" t="s">
        <v>314</v>
      </c>
      <c r="D779" s="40" t="s">
        <v>133</v>
      </c>
      <c r="E779" s="40" t="s">
        <v>149</v>
      </c>
      <c r="F779" s="2"/>
      <c r="G779" s="10">
        <f>'Пр.4 ведом.20'!G434</f>
        <v>100</v>
      </c>
      <c r="H779" s="313">
        <f>'Пр.4 ведом.20'!H434</f>
        <v>100</v>
      </c>
      <c r="I779" s="337">
        <f t="shared" si="420"/>
        <v>100</v>
      </c>
    </row>
    <row r="780" spans="1:9" s="211" customFormat="1" ht="47.25" x14ac:dyDescent="0.25">
      <c r="A780" s="25" t="s">
        <v>276</v>
      </c>
      <c r="B780" s="20" t="s">
        <v>1190</v>
      </c>
      <c r="C780" s="40" t="s">
        <v>314</v>
      </c>
      <c r="D780" s="40" t="s">
        <v>133</v>
      </c>
      <c r="E780" s="40" t="s">
        <v>149</v>
      </c>
      <c r="F780" s="2">
        <v>903</v>
      </c>
      <c r="G780" s="10">
        <f>G779</f>
        <v>100</v>
      </c>
      <c r="H780" s="313">
        <f t="shared" ref="H780" si="449">H779</f>
        <v>100</v>
      </c>
      <c r="I780" s="337">
        <f t="shared" si="420"/>
        <v>100</v>
      </c>
    </row>
    <row r="781" spans="1:9" s="1" customFormat="1" ht="15.75" customHeight="1" x14ac:dyDescent="0.25">
      <c r="A781" s="73" t="s">
        <v>505</v>
      </c>
      <c r="B781" s="40" t="s">
        <v>1023</v>
      </c>
      <c r="C781" s="40" t="s">
        <v>506</v>
      </c>
      <c r="D781" s="73"/>
      <c r="E781" s="73"/>
      <c r="F781" s="73"/>
      <c r="G781" s="10">
        <f t="shared" ref="G781:H781" si="450">G782</f>
        <v>77.400000000000006</v>
      </c>
      <c r="H781" s="313">
        <f t="shared" si="450"/>
        <v>77.400000000000006</v>
      </c>
      <c r="I781" s="337">
        <f t="shared" si="420"/>
        <v>100</v>
      </c>
    </row>
    <row r="782" spans="1:9" s="1" customFormat="1" ht="15.75" customHeight="1" x14ac:dyDescent="0.25">
      <c r="A782" s="73" t="s">
        <v>507</v>
      </c>
      <c r="B782" s="40" t="s">
        <v>1023</v>
      </c>
      <c r="C782" s="40" t="s">
        <v>506</v>
      </c>
      <c r="D782" s="40" t="s">
        <v>133</v>
      </c>
      <c r="E782" s="73"/>
      <c r="F782" s="73"/>
      <c r="G782" s="10">
        <f t="shared" ref="G782:H784" si="451">G783</f>
        <v>77.400000000000006</v>
      </c>
      <c r="H782" s="313">
        <f t="shared" si="451"/>
        <v>77.400000000000006</v>
      </c>
      <c r="I782" s="337">
        <f t="shared" si="420"/>
        <v>100</v>
      </c>
    </row>
    <row r="783" spans="1:9" s="1" customFormat="1" ht="47.25" customHeight="1" x14ac:dyDescent="0.25">
      <c r="A783" s="31" t="s">
        <v>1272</v>
      </c>
      <c r="B783" s="40" t="s">
        <v>1024</v>
      </c>
      <c r="C783" s="40" t="s">
        <v>506</v>
      </c>
      <c r="D783" s="40" t="s">
        <v>133</v>
      </c>
      <c r="E783" s="73"/>
      <c r="F783" s="73"/>
      <c r="G783" s="10">
        <f>G784</f>
        <v>77.400000000000006</v>
      </c>
      <c r="H783" s="313">
        <f t="shared" si="451"/>
        <v>77.400000000000006</v>
      </c>
      <c r="I783" s="337">
        <f t="shared" si="420"/>
        <v>100</v>
      </c>
    </row>
    <row r="784" spans="1:9" s="1" customFormat="1" ht="31.7" customHeight="1" x14ac:dyDescent="0.25">
      <c r="A784" s="25" t="s">
        <v>287</v>
      </c>
      <c r="B784" s="40" t="s">
        <v>1024</v>
      </c>
      <c r="C784" s="40" t="s">
        <v>506</v>
      </c>
      <c r="D784" s="40" t="s">
        <v>133</v>
      </c>
      <c r="E784" s="40" t="s">
        <v>288</v>
      </c>
      <c r="F784" s="73"/>
      <c r="G784" s="10">
        <f>G785</f>
        <v>77.400000000000006</v>
      </c>
      <c r="H784" s="313">
        <f t="shared" si="451"/>
        <v>77.400000000000006</v>
      </c>
      <c r="I784" s="337">
        <f t="shared" si="420"/>
        <v>100</v>
      </c>
    </row>
    <row r="785" spans="1:9" s="1" customFormat="1" ht="15.75" customHeight="1" x14ac:dyDescent="0.25">
      <c r="A785" s="25" t="s">
        <v>289</v>
      </c>
      <c r="B785" s="40" t="s">
        <v>1024</v>
      </c>
      <c r="C785" s="40" t="s">
        <v>506</v>
      </c>
      <c r="D785" s="40" t="s">
        <v>133</v>
      </c>
      <c r="E785" s="40" t="s">
        <v>290</v>
      </c>
      <c r="F785" s="73"/>
      <c r="G785" s="10">
        <f>'Пр.4 ведом.20'!G914</f>
        <v>77.400000000000006</v>
      </c>
      <c r="H785" s="313">
        <f>'Пр.4 ведом.20'!H914</f>
        <v>77.400000000000006</v>
      </c>
      <c r="I785" s="337">
        <f t="shared" ref="I785:I848" si="452">H785/G785*100</f>
        <v>100</v>
      </c>
    </row>
    <row r="786" spans="1:9" s="1" customFormat="1" ht="31.7" customHeight="1" x14ac:dyDescent="0.25">
      <c r="A786" s="45" t="s">
        <v>495</v>
      </c>
      <c r="B786" s="40" t="s">
        <v>1024</v>
      </c>
      <c r="C786" s="40" t="s">
        <v>506</v>
      </c>
      <c r="D786" s="40" t="s">
        <v>133</v>
      </c>
      <c r="E786" s="40" t="s">
        <v>290</v>
      </c>
      <c r="F786" s="2">
        <v>907</v>
      </c>
      <c r="G786" s="10">
        <f>G785</f>
        <v>77.400000000000006</v>
      </c>
      <c r="H786" s="313">
        <f t="shared" ref="H786" si="453">H785</f>
        <v>77.400000000000006</v>
      </c>
      <c r="I786" s="337">
        <f t="shared" si="452"/>
        <v>100</v>
      </c>
    </row>
    <row r="787" spans="1:9" ht="47.25" x14ac:dyDescent="0.25">
      <c r="A787" s="41" t="s">
        <v>557</v>
      </c>
      <c r="B787" s="7" t="s">
        <v>558</v>
      </c>
      <c r="C787" s="2"/>
      <c r="D787" s="2"/>
      <c r="E787" s="2"/>
      <c r="F787" s="2"/>
      <c r="G787" s="59">
        <f t="shared" ref="G787:H787" si="454">G788+G810</f>
        <v>4405.6000000000004</v>
      </c>
      <c r="H787" s="325">
        <f t="shared" si="454"/>
        <v>3698.998</v>
      </c>
      <c r="I787" s="4">
        <f t="shared" si="452"/>
        <v>83.96127655710913</v>
      </c>
    </row>
    <row r="788" spans="1:9" ht="47.25" x14ac:dyDescent="0.25">
      <c r="A788" s="41" t="s">
        <v>559</v>
      </c>
      <c r="B788" s="7" t="s">
        <v>560</v>
      </c>
      <c r="C788" s="7"/>
      <c r="D788" s="7"/>
      <c r="E788" s="3"/>
      <c r="F788" s="3"/>
      <c r="G788" s="59">
        <f t="shared" ref="G788:H788" si="455">G790</f>
        <v>1960.9</v>
      </c>
      <c r="H788" s="325">
        <f t="shared" si="455"/>
        <v>1960.616</v>
      </c>
      <c r="I788" s="4">
        <f t="shared" si="452"/>
        <v>99.985516854505576</v>
      </c>
    </row>
    <row r="789" spans="1:9" s="210" customFormat="1" ht="31.5" x14ac:dyDescent="0.25">
      <c r="A789" s="23" t="s">
        <v>1120</v>
      </c>
      <c r="B789" s="7" t="s">
        <v>1118</v>
      </c>
      <c r="C789" s="7"/>
      <c r="D789" s="7"/>
      <c r="E789" s="3"/>
      <c r="F789" s="3"/>
      <c r="G789" s="59">
        <f>G790</f>
        <v>1960.9</v>
      </c>
      <c r="H789" s="325">
        <f t="shared" ref="H789" si="456">H790</f>
        <v>1960.616</v>
      </c>
      <c r="I789" s="4">
        <f t="shared" si="452"/>
        <v>99.985516854505576</v>
      </c>
    </row>
    <row r="790" spans="1:9" ht="15.75" x14ac:dyDescent="0.25">
      <c r="A790" s="73" t="s">
        <v>405</v>
      </c>
      <c r="B790" s="40" t="s">
        <v>1118</v>
      </c>
      <c r="C790" s="40" t="s">
        <v>249</v>
      </c>
      <c r="D790" s="40"/>
      <c r="E790" s="2"/>
      <c r="F790" s="2"/>
      <c r="G790" s="10">
        <f t="shared" ref="G790:H790" si="457">G791</f>
        <v>1960.9</v>
      </c>
      <c r="H790" s="313">
        <f t="shared" si="457"/>
        <v>1960.616</v>
      </c>
      <c r="I790" s="337">
        <f t="shared" si="452"/>
        <v>99.985516854505576</v>
      </c>
    </row>
    <row r="791" spans="1:9" ht="15.75" x14ac:dyDescent="0.25">
      <c r="A791" s="73" t="s">
        <v>556</v>
      </c>
      <c r="B791" s="40" t="s">
        <v>1118</v>
      </c>
      <c r="C791" s="40" t="s">
        <v>249</v>
      </c>
      <c r="D791" s="40" t="s">
        <v>230</v>
      </c>
      <c r="E791" s="2"/>
      <c r="F791" s="2"/>
      <c r="G791" s="10">
        <f t="shared" ref="G791:H791" si="458">G792+G796+G806</f>
        <v>1960.9</v>
      </c>
      <c r="H791" s="313">
        <f t="shared" si="458"/>
        <v>1960.616</v>
      </c>
      <c r="I791" s="337">
        <f t="shared" si="452"/>
        <v>99.985516854505576</v>
      </c>
    </row>
    <row r="792" spans="1:9" ht="15.75" customHeight="1" x14ac:dyDescent="0.25">
      <c r="A792" s="25" t="s">
        <v>561</v>
      </c>
      <c r="B792" s="20" t="s">
        <v>1119</v>
      </c>
      <c r="C792" s="40" t="s">
        <v>249</v>
      </c>
      <c r="D792" s="40" t="s">
        <v>230</v>
      </c>
      <c r="E792" s="2"/>
      <c r="F792" s="2"/>
      <c r="G792" s="10">
        <f t="shared" ref="G792:H793" si="459">G793</f>
        <v>740.59999999999991</v>
      </c>
      <c r="H792" s="313">
        <f t="shared" si="459"/>
        <v>740.42700000000002</v>
      </c>
      <c r="I792" s="337">
        <f t="shared" si="452"/>
        <v>99.976640561706745</v>
      </c>
    </row>
    <row r="793" spans="1:9" ht="41.25" customHeight="1" x14ac:dyDescent="0.25">
      <c r="A793" s="25" t="s">
        <v>146</v>
      </c>
      <c r="B793" s="20" t="s">
        <v>1119</v>
      </c>
      <c r="C793" s="40" t="s">
        <v>249</v>
      </c>
      <c r="D793" s="40" t="s">
        <v>230</v>
      </c>
      <c r="E793" s="2">
        <v>200</v>
      </c>
      <c r="F793" s="2"/>
      <c r="G793" s="10">
        <f t="shared" si="459"/>
        <v>740.59999999999991</v>
      </c>
      <c r="H793" s="313">
        <f t="shared" si="459"/>
        <v>740.42700000000002</v>
      </c>
      <c r="I793" s="337">
        <f t="shared" si="452"/>
        <v>99.976640561706745</v>
      </c>
    </row>
    <row r="794" spans="1:9" ht="31.7" customHeight="1" x14ac:dyDescent="0.25">
      <c r="A794" s="25" t="s">
        <v>148</v>
      </c>
      <c r="B794" s="20" t="s">
        <v>1119</v>
      </c>
      <c r="C794" s="40" t="s">
        <v>249</v>
      </c>
      <c r="D794" s="40" t="s">
        <v>230</v>
      </c>
      <c r="E794" s="2">
        <v>240</v>
      </c>
      <c r="F794" s="2"/>
      <c r="G794" s="10">
        <f>'Пр.4 ведом.20'!G1109</f>
        <v>740.59999999999991</v>
      </c>
      <c r="H794" s="313">
        <f>'Пр.4 ведом.20'!H1109</f>
        <v>740.42700000000002</v>
      </c>
      <c r="I794" s="337">
        <f t="shared" si="452"/>
        <v>99.976640561706745</v>
      </c>
    </row>
    <row r="795" spans="1:9" s="210" customFormat="1" ht="31.7" customHeight="1" x14ac:dyDescent="0.25">
      <c r="A795" s="45" t="s">
        <v>638</v>
      </c>
      <c r="B795" s="20" t="s">
        <v>1119</v>
      </c>
      <c r="C795" s="40" t="s">
        <v>249</v>
      </c>
      <c r="D795" s="40" t="s">
        <v>230</v>
      </c>
      <c r="E795" s="2">
        <v>240</v>
      </c>
      <c r="F795" s="2">
        <v>908</v>
      </c>
      <c r="G795" s="10">
        <f>G794</f>
        <v>740.59999999999991</v>
      </c>
      <c r="H795" s="313">
        <f t="shared" ref="H795" si="460">H794</f>
        <v>740.42700000000002</v>
      </c>
      <c r="I795" s="337">
        <f t="shared" si="452"/>
        <v>99.976640561706745</v>
      </c>
    </row>
    <row r="796" spans="1:9" ht="17.45" customHeight="1" x14ac:dyDescent="0.25">
      <c r="A796" s="25" t="s">
        <v>563</v>
      </c>
      <c r="B796" s="20" t="s">
        <v>1121</v>
      </c>
      <c r="C796" s="40" t="s">
        <v>249</v>
      </c>
      <c r="D796" s="40" t="s">
        <v>230</v>
      </c>
      <c r="E796" s="2"/>
      <c r="F796" s="2"/>
      <c r="G796" s="10">
        <f>G797+G800+G803</f>
        <v>1220.3000000000002</v>
      </c>
      <c r="H796" s="313">
        <f t="shared" ref="H796" si="461">H797+H800+H803</f>
        <v>1220.1890000000001</v>
      </c>
      <c r="I796" s="337">
        <f t="shared" si="452"/>
        <v>99.990903876096041</v>
      </c>
    </row>
    <row r="797" spans="1:9" ht="31.5" x14ac:dyDescent="0.25">
      <c r="A797" s="25" t="s">
        <v>146</v>
      </c>
      <c r="B797" s="20" t="s">
        <v>1121</v>
      </c>
      <c r="C797" s="40" t="s">
        <v>249</v>
      </c>
      <c r="D797" s="40" t="s">
        <v>230</v>
      </c>
      <c r="E797" s="2">
        <v>200</v>
      </c>
      <c r="F797" s="2"/>
      <c r="G797" s="10">
        <f t="shared" ref="G797:H797" si="462">G798</f>
        <v>1220.3000000000002</v>
      </c>
      <c r="H797" s="313">
        <f t="shared" si="462"/>
        <v>1220.1890000000001</v>
      </c>
      <c r="I797" s="337">
        <f t="shared" si="452"/>
        <v>99.990903876096041</v>
      </c>
    </row>
    <row r="798" spans="1:9" ht="31.5" x14ac:dyDescent="0.25">
      <c r="A798" s="25" t="s">
        <v>148</v>
      </c>
      <c r="B798" s="20" t="s">
        <v>1121</v>
      </c>
      <c r="C798" s="40" t="s">
        <v>249</v>
      </c>
      <c r="D798" s="40" t="s">
        <v>230</v>
      </c>
      <c r="E798" s="2">
        <v>240</v>
      </c>
      <c r="F798" s="2"/>
      <c r="G798" s="10">
        <f>'Пр.4 ведом.20'!G1112</f>
        <v>1220.3000000000002</v>
      </c>
      <c r="H798" s="313">
        <f>'Пр.4 ведом.20'!H1112</f>
        <v>1220.1890000000001</v>
      </c>
      <c r="I798" s="337">
        <f t="shared" si="452"/>
        <v>99.990903876096041</v>
      </c>
    </row>
    <row r="799" spans="1:9" s="210" customFormat="1" ht="31.5" x14ac:dyDescent="0.25">
      <c r="A799" s="45" t="s">
        <v>638</v>
      </c>
      <c r="B799" s="20" t="s">
        <v>1121</v>
      </c>
      <c r="C799" s="40" t="s">
        <v>249</v>
      </c>
      <c r="D799" s="40" t="s">
        <v>230</v>
      </c>
      <c r="E799" s="2">
        <v>240</v>
      </c>
      <c r="F799" s="2">
        <v>908</v>
      </c>
      <c r="G799" s="10">
        <f>G798</f>
        <v>1220.3000000000002</v>
      </c>
      <c r="H799" s="313">
        <f t="shared" ref="H799" si="463">H798</f>
        <v>1220.1890000000001</v>
      </c>
      <c r="I799" s="337">
        <f t="shared" si="452"/>
        <v>99.990903876096041</v>
      </c>
    </row>
    <row r="800" spans="1:9" ht="15.75" hidden="1" x14ac:dyDescent="0.25">
      <c r="A800" s="25" t="s">
        <v>150</v>
      </c>
      <c r="B800" s="20" t="s">
        <v>1121</v>
      </c>
      <c r="C800" s="40" t="s">
        <v>249</v>
      </c>
      <c r="D800" s="40" t="s">
        <v>230</v>
      </c>
      <c r="E800" s="2">
        <v>800</v>
      </c>
      <c r="F800" s="2"/>
      <c r="G800" s="10">
        <f>G801</f>
        <v>0</v>
      </c>
      <c r="H800" s="313">
        <f t="shared" ref="H800" si="464">H801</f>
        <v>0</v>
      </c>
      <c r="I800" s="337" t="e">
        <f t="shared" si="452"/>
        <v>#DIV/0!</v>
      </c>
    </row>
    <row r="801" spans="1:9" s="210" customFormat="1" ht="47.25" hidden="1" x14ac:dyDescent="0.25">
      <c r="A801" s="25" t="s">
        <v>880</v>
      </c>
      <c r="B801" s="20" t="s">
        <v>1121</v>
      </c>
      <c r="C801" s="40" t="s">
        <v>249</v>
      </c>
      <c r="D801" s="40" t="s">
        <v>230</v>
      </c>
      <c r="E801" s="2">
        <v>830</v>
      </c>
      <c r="F801" s="2"/>
      <c r="G801" s="10">
        <f>'Пр.3 Рд,пр, ЦС,ВР 20'!F457</f>
        <v>0</v>
      </c>
      <c r="H801" s="313">
        <f>'Пр.3 Рд,пр, ЦС,ВР 20'!G457</f>
        <v>0</v>
      </c>
      <c r="I801" s="337" t="e">
        <f t="shared" si="452"/>
        <v>#DIV/0!</v>
      </c>
    </row>
    <row r="802" spans="1:9" s="210" customFormat="1" ht="31.5" hidden="1" x14ac:dyDescent="0.25">
      <c r="A802" s="45" t="s">
        <v>638</v>
      </c>
      <c r="B802" s="20" t="s">
        <v>1121</v>
      </c>
      <c r="C802" s="40" t="s">
        <v>249</v>
      </c>
      <c r="D802" s="40" t="s">
        <v>230</v>
      </c>
      <c r="E802" s="2">
        <v>830</v>
      </c>
      <c r="F802" s="2">
        <v>908</v>
      </c>
      <c r="G802" s="10">
        <f>G801</f>
        <v>0</v>
      </c>
      <c r="H802" s="313">
        <f t="shared" ref="H802" si="465">H801</f>
        <v>0</v>
      </c>
      <c r="I802" s="337" t="e">
        <f t="shared" si="452"/>
        <v>#DIV/0!</v>
      </c>
    </row>
    <row r="803" spans="1:9" s="210" customFormat="1" ht="15.75" hidden="1" x14ac:dyDescent="0.25">
      <c r="A803" s="25" t="s">
        <v>150</v>
      </c>
      <c r="B803" s="20" t="s">
        <v>1121</v>
      </c>
      <c r="C803" s="40" t="s">
        <v>249</v>
      </c>
      <c r="D803" s="40" t="s">
        <v>230</v>
      </c>
      <c r="E803" s="2">
        <v>800</v>
      </c>
      <c r="F803" s="2"/>
      <c r="G803" s="10">
        <f>G804</f>
        <v>0</v>
      </c>
      <c r="H803" s="313">
        <f t="shared" ref="H803" si="466">H804</f>
        <v>0</v>
      </c>
      <c r="I803" s="337" t="e">
        <f t="shared" si="452"/>
        <v>#DIV/0!</v>
      </c>
    </row>
    <row r="804" spans="1:9" ht="15.75" hidden="1" x14ac:dyDescent="0.25">
      <c r="A804" s="25" t="s">
        <v>1268</v>
      </c>
      <c r="B804" s="20" t="s">
        <v>1121</v>
      </c>
      <c r="C804" s="40" t="s">
        <v>249</v>
      </c>
      <c r="D804" s="40" t="s">
        <v>230</v>
      </c>
      <c r="E804" s="2">
        <v>850</v>
      </c>
      <c r="F804" s="2"/>
      <c r="G804" s="10">
        <f>'Пр.3 Рд,пр, ЦС,ВР 20'!F458</f>
        <v>0</v>
      </c>
      <c r="H804" s="313">
        <f>'Пр.3 Рд,пр, ЦС,ВР 20'!G458</f>
        <v>0</v>
      </c>
      <c r="I804" s="337" t="e">
        <f t="shared" si="452"/>
        <v>#DIV/0!</v>
      </c>
    </row>
    <row r="805" spans="1:9" s="210" customFormat="1" ht="31.5" hidden="1" x14ac:dyDescent="0.25">
      <c r="A805" s="45" t="s">
        <v>638</v>
      </c>
      <c r="B805" s="20" t="s">
        <v>1121</v>
      </c>
      <c r="C805" s="40" t="s">
        <v>249</v>
      </c>
      <c r="D805" s="40" t="s">
        <v>230</v>
      </c>
      <c r="E805" s="2">
        <v>850</v>
      </c>
      <c r="F805" s="2">
        <v>908</v>
      </c>
      <c r="G805" s="10">
        <f>G804</f>
        <v>0</v>
      </c>
      <c r="H805" s="313">
        <f t="shared" ref="H805" si="467">H804</f>
        <v>0</v>
      </c>
      <c r="I805" s="337" t="e">
        <f t="shared" si="452"/>
        <v>#DIV/0!</v>
      </c>
    </row>
    <row r="806" spans="1:9" ht="15.75" hidden="1" x14ac:dyDescent="0.25">
      <c r="A806" s="25" t="s">
        <v>565</v>
      </c>
      <c r="B806" s="20" t="s">
        <v>1122</v>
      </c>
      <c r="C806" s="40" t="s">
        <v>249</v>
      </c>
      <c r="D806" s="40" t="s">
        <v>230</v>
      </c>
      <c r="E806" s="2"/>
      <c r="F806" s="2"/>
      <c r="G806" s="10">
        <f t="shared" ref="G806:H807" si="468">G807</f>
        <v>0</v>
      </c>
      <c r="H806" s="313">
        <f t="shared" si="468"/>
        <v>0</v>
      </c>
      <c r="I806" s="337" t="e">
        <f t="shared" si="452"/>
        <v>#DIV/0!</v>
      </c>
    </row>
    <row r="807" spans="1:9" ht="31.5" hidden="1" x14ac:dyDescent="0.25">
      <c r="A807" s="25" t="s">
        <v>146</v>
      </c>
      <c r="B807" s="20" t="s">
        <v>1122</v>
      </c>
      <c r="C807" s="40" t="s">
        <v>249</v>
      </c>
      <c r="D807" s="40" t="s">
        <v>230</v>
      </c>
      <c r="E807" s="2">
        <v>200</v>
      </c>
      <c r="F807" s="2"/>
      <c r="G807" s="10">
        <f>G808</f>
        <v>0</v>
      </c>
      <c r="H807" s="313">
        <f t="shared" si="468"/>
        <v>0</v>
      </c>
      <c r="I807" s="337" t="e">
        <f t="shared" si="452"/>
        <v>#DIV/0!</v>
      </c>
    </row>
    <row r="808" spans="1:9" ht="31.5" hidden="1" x14ac:dyDescent="0.25">
      <c r="A808" s="25" t="s">
        <v>148</v>
      </c>
      <c r="B808" s="20" t="s">
        <v>1122</v>
      </c>
      <c r="C808" s="40" t="s">
        <v>249</v>
      </c>
      <c r="D808" s="40" t="s">
        <v>230</v>
      </c>
      <c r="E808" s="2">
        <v>240</v>
      </c>
      <c r="F808" s="2"/>
      <c r="G808" s="10">
        <f>'Пр.4 ведом.20'!G1118</f>
        <v>0</v>
      </c>
      <c r="H808" s="313">
        <f>'Пр.4 ведом.20'!H1118</f>
        <v>0</v>
      </c>
      <c r="I808" s="337" t="e">
        <f t="shared" si="452"/>
        <v>#DIV/0!</v>
      </c>
    </row>
    <row r="809" spans="1:9" ht="31.5" hidden="1" x14ac:dyDescent="0.25">
      <c r="A809" s="45" t="s">
        <v>638</v>
      </c>
      <c r="B809" s="20" t="s">
        <v>1122</v>
      </c>
      <c r="C809" s="40" t="s">
        <v>249</v>
      </c>
      <c r="D809" s="40" t="s">
        <v>230</v>
      </c>
      <c r="E809" s="2">
        <v>240</v>
      </c>
      <c r="F809" s="2">
        <v>908</v>
      </c>
      <c r="G809" s="10">
        <f>G808</f>
        <v>0</v>
      </c>
      <c r="H809" s="313">
        <f t="shared" ref="H809" si="469">H808</f>
        <v>0</v>
      </c>
      <c r="I809" s="337" t="e">
        <f t="shared" si="452"/>
        <v>#DIV/0!</v>
      </c>
    </row>
    <row r="810" spans="1:9" ht="47.25" x14ac:dyDescent="0.25">
      <c r="A810" s="23" t="s">
        <v>567</v>
      </c>
      <c r="B810" s="7" t="s">
        <v>568</v>
      </c>
      <c r="C810" s="7"/>
      <c r="D810" s="7"/>
      <c r="E810" s="3"/>
      <c r="F810" s="3"/>
      <c r="G810" s="59">
        <f>G812+G833</f>
        <v>2444.6999999999998</v>
      </c>
      <c r="H810" s="325">
        <f t="shared" ref="H810" si="470">H812+H833</f>
        <v>1738.3820000000001</v>
      </c>
      <c r="I810" s="4">
        <f t="shared" si="452"/>
        <v>71.108193234343688</v>
      </c>
    </row>
    <row r="811" spans="1:9" s="210" customFormat="1" ht="31.5" x14ac:dyDescent="0.25">
      <c r="A811" s="23" t="s">
        <v>1138</v>
      </c>
      <c r="B811" s="7" t="s">
        <v>1123</v>
      </c>
      <c r="C811" s="7"/>
      <c r="D811" s="7"/>
      <c r="E811" s="3"/>
      <c r="F811" s="3"/>
      <c r="G811" s="59">
        <f>G812</f>
        <v>530.20000000000005</v>
      </c>
      <c r="H811" s="325">
        <f t="shared" ref="H811" si="471">H812</f>
        <v>527.78700000000003</v>
      </c>
      <c r="I811" s="4">
        <f t="shared" si="452"/>
        <v>99.544888721237271</v>
      </c>
    </row>
    <row r="812" spans="1:9" ht="15.75" x14ac:dyDescent="0.25">
      <c r="A812" s="73" t="s">
        <v>405</v>
      </c>
      <c r="B812" s="40" t="s">
        <v>1123</v>
      </c>
      <c r="C812" s="40" t="s">
        <v>249</v>
      </c>
      <c r="D812" s="40"/>
      <c r="E812" s="2"/>
      <c r="F812" s="2"/>
      <c r="G812" s="10">
        <f t="shared" ref="G812:H812" si="472">G813</f>
        <v>530.20000000000005</v>
      </c>
      <c r="H812" s="313">
        <f t="shared" si="472"/>
        <v>527.78700000000003</v>
      </c>
      <c r="I812" s="337">
        <f t="shared" si="452"/>
        <v>99.544888721237271</v>
      </c>
    </row>
    <row r="813" spans="1:9" ht="15.75" x14ac:dyDescent="0.25">
      <c r="A813" s="73" t="s">
        <v>556</v>
      </c>
      <c r="B813" s="40" t="s">
        <v>1123</v>
      </c>
      <c r="C813" s="40" t="s">
        <v>249</v>
      </c>
      <c r="D813" s="40" t="s">
        <v>230</v>
      </c>
      <c r="E813" s="2"/>
      <c r="F813" s="2"/>
      <c r="G813" s="10">
        <f>G829+G814+G818+G825</f>
        <v>530.20000000000005</v>
      </c>
      <c r="H813" s="313">
        <f t="shared" ref="H813" si="473">H829+H814+H818+H825</f>
        <v>527.78700000000003</v>
      </c>
      <c r="I813" s="337">
        <f t="shared" si="452"/>
        <v>99.544888721237271</v>
      </c>
    </row>
    <row r="814" spans="1:9" ht="15.75" x14ac:dyDescent="0.25">
      <c r="A814" s="25" t="s">
        <v>570</v>
      </c>
      <c r="B814" s="20" t="s">
        <v>1125</v>
      </c>
      <c r="C814" s="40" t="s">
        <v>249</v>
      </c>
      <c r="D814" s="40" t="s">
        <v>230</v>
      </c>
      <c r="E814" s="2"/>
      <c r="F814" s="2"/>
      <c r="G814" s="10">
        <f t="shared" ref="G814:H815" si="474">G815</f>
        <v>39</v>
      </c>
      <c r="H814" s="313">
        <f t="shared" si="474"/>
        <v>38.130000000000003</v>
      </c>
      <c r="I814" s="337">
        <f t="shared" si="452"/>
        <v>97.769230769230774</v>
      </c>
    </row>
    <row r="815" spans="1:9" ht="31.5" x14ac:dyDescent="0.25">
      <c r="A815" s="25" t="s">
        <v>146</v>
      </c>
      <c r="B815" s="20" t="s">
        <v>1125</v>
      </c>
      <c r="C815" s="40" t="s">
        <v>249</v>
      </c>
      <c r="D815" s="40" t="s">
        <v>230</v>
      </c>
      <c r="E815" s="2">
        <v>200</v>
      </c>
      <c r="F815" s="2"/>
      <c r="G815" s="10">
        <f t="shared" si="474"/>
        <v>39</v>
      </c>
      <c r="H815" s="313">
        <f t="shared" si="474"/>
        <v>38.130000000000003</v>
      </c>
      <c r="I815" s="337">
        <f t="shared" si="452"/>
        <v>97.769230769230774</v>
      </c>
    </row>
    <row r="816" spans="1:9" ht="31.5" x14ac:dyDescent="0.25">
      <c r="A816" s="25" t="s">
        <v>148</v>
      </c>
      <c r="B816" s="20" t="s">
        <v>1125</v>
      </c>
      <c r="C816" s="40" t="s">
        <v>249</v>
      </c>
      <c r="D816" s="40" t="s">
        <v>230</v>
      </c>
      <c r="E816" s="2">
        <v>240</v>
      </c>
      <c r="F816" s="2"/>
      <c r="G816" s="10">
        <f>'Пр.4 ведом.20'!G1123</f>
        <v>39</v>
      </c>
      <c r="H816" s="313">
        <f>'Пр.4 ведом.20'!H1123</f>
        <v>38.130000000000003</v>
      </c>
      <c r="I816" s="337">
        <f t="shared" si="452"/>
        <v>97.769230769230774</v>
      </c>
    </row>
    <row r="817" spans="1:9" s="210" customFormat="1" ht="31.5" x14ac:dyDescent="0.25">
      <c r="A817" s="45" t="s">
        <v>638</v>
      </c>
      <c r="B817" s="20" t="s">
        <v>1125</v>
      </c>
      <c r="C817" s="40" t="s">
        <v>249</v>
      </c>
      <c r="D817" s="40" t="s">
        <v>230</v>
      </c>
      <c r="E817" s="2">
        <v>240</v>
      </c>
      <c r="F817" s="2">
        <v>908</v>
      </c>
      <c r="G817" s="10">
        <f>G816</f>
        <v>39</v>
      </c>
      <c r="H817" s="313">
        <f t="shared" ref="H817" si="475">H816</f>
        <v>38.130000000000003</v>
      </c>
      <c r="I817" s="337">
        <f t="shared" si="452"/>
        <v>97.769230769230774</v>
      </c>
    </row>
    <row r="818" spans="1:9" ht="47.25" x14ac:dyDescent="0.25">
      <c r="A818" s="45" t="s">
        <v>572</v>
      </c>
      <c r="B818" s="20" t="s">
        <v>1126</v>
      </c>
      <c r="C818" s="40" t="s">
        <v>249</v>
      </c>
      <c r="D818" s="40" t="s">
        <v>230</v>
      </c>
      <c r="E818" s="2"/>
      <c r="F818" s="2"/>
      <c r="G818" s="10">
        <f>G819+G822</f>
        <v>491.2</v>
      </c>
      <c r="H818" s="313">
        <f t="shared" ref="H818" si="476">H819+H822</f>
        <v>489.65699999999998</v>
      </c>
      <c r="I818" s="337">
        <f t="shared" si="452"/>
        <v>99.685871335504885</v>
      </c>
    </row>
    <row r="819" spans="1:9" ht="31.5" x14ac:dyDescent="0.25">
      <c r="A819" s="25" t="s">
        <v>146</v>
      </c>
      <c r="B819" s="20" t="s">
        <v>1126</v>
      </c>
      <c r="C819" s="40" t="s">
        <v>249</v>
      </c>
      <c r="D819" s="40" t="s">
        <v>230</v>
      </c>
      <c r="E819" s="2">
        <v>200</v>
      </c>
      <c r="F819" s="2"/>
      <c r="G819" s="10">
        <f t="shared" ref="G819:H819" si="477">G820</f>
        <v>491.2</v>
      </c>
      <c r="H819" s="313">
        <f t="shared" si="477"/>
        <v>489.65699999999998</v>
      </c>
      <c r="I819" s="337">
        <f t="shared" si="452"/>
        <v>99.685871335504885</v>
      </c>
    </row>
    <row r="820" spans="1:9" ht="31.5" x14ac:dyDescent="0.25">
      <c r="A820" s="25" t="s">
        <v>148</v>
      </c>
      <c r="B820" s="20" t="s">
        <v>1126</v>
      </c>
      <c r="C820" s="40" t="s">
        <v>249</v>
      </c>
      <c r="D820" s="40" t="s">
        <v>230</v>
      </c>
      <c r="E820" s="2">
        <v>240</v>
      </c>
      <c r="F820" s="2"/>
      <c r="G820" s="10">
        <f>'Пр.4 ведом.20'!G1126</f>
        <v>491.2</v>
      </c>
      <c r="H820" s="313">
        <f>'Пр.4 ведом.20'!H1126</f>
        <v>489.65699999999998</v>
      </c>
      <c r="I820" s="337">
        <f t="shared" si="452"/>
        <v>99.685871335504885</v>
      </c>
    </row>
    <row r="821" spans="1:9" s="210" customFormat="1" ht="31.5" x14ac:dyDescent="0.25">
      <c r="A821" s="45" t="s">
        <v>638</v>
      </c>
      <c r="B821" s="20" t="s">
        <v>1126</v>
      </c>
      <c r="C821" s="40" t="s">
        <v>249</v>
      </c>
      <c r="D821" s="40" t="s">
        <v>230</v>
      </c>
      <c r="E821" s="2">
        <v>240</v>
      </c>
      <c r="F821" s="2">
        <v>908</v>
      </c>
      <c r="G821" s="10">
        <f>G820</f>
        <v>491.2</v>
      </c>
      <c r="H821" s="313">
        <f t="shared" ref="H821" si="478">H820</f>
        <v>489.65699999999998</v>
      </c>
      <c r="I821" s="337">
        <f t="shared" si="452"/>
        <v>99.685871335504885</v>
      </c>
    </row>
    <row r="822" spans="1:9" s="210" customFormat="1" ht="15.75" hidden="1" x14ac:dyDescent="0.25">
      <c r="A822" s="29" t="s">
        <v>150</v>
      </c>
      <c r="B822" s="20" t="s">
        <v>1126</v>
      </c>
      <c r="C822" s="40" t="s">
        <v>249</v>
      </c>
      <c r="D822" s="40" t="s">
        <v>230</v>
      </c>
      <c r="E822" s="2">
        <v>800</v>
      </c>
      <c r="F822" s="2"/>
      <c r="G822" s="10">
        <f>G823</f>
        <v>0</v>
      </c>
      <c r="H822" s="313">
        <f t="shared" ref="H822" si="479">H823</f>
        <v>0</v>
      </c>
      <c r="I822" s="337" t="e">
        <f t="shared" si="452"/>
        <v>#DIV/0!</v>
      </c>
    </row>
    <row r="823" spans="1:9" s="210" customFormat="1" ht="15.75" hidden="1" x14ac:dyDescent="0.25">
      <c r="A823" s="25" t="s">
        <v>725</v>
      </c>
      <c r="B823" s="20" t="s">
        <v>1126</v>
      </c>
      <c r="C823" s="40" t="s">
        <v>249</v>
      </c>
      <c r="D823" s="40" t="s">
        <v>230</v>
      </c>
      <c r="E823" s="2">
        <v>850</v>
      </c>
      <c r="F823" s="2"/>
      <c r="G823" s="10">
        <f>'Пр.4 ведом.20'!G1128</f>
        <v>0</v>
      </c>
      <c r="H823" s="313">
        <f>'Пр.4 ведом.20'!H1128</f>
        <v>0</v>
      </c>
      <c r="I823" s="337" t="e">
        <f t="shared" si="452"/>
        <v>#DIV/0!</v>
      </c>
    </row>
    <row r="824" spans="1:9" s="210" customFormat="1" ht="31.5" x14ac:dyDescent="0.25">
      <c r="A824" s="45" t="s">
        <v>638</v>
      </c>
      <c r="B824" s="20" t="s">
        <v>1126</v>
      </c>
      <c r="C824" s="40" t="s">
        <v>249</v>
      </c>
      <c r="D824" s="40" t="s">
        <v>230</v>
      </c>
      <c r="E824" s="2">
        <v>850</v>
      </c>
      <c r="F824" s="2">
        <v>908</v>
      </c>
      <c r="G824" s="10">
        <f>G821</f>
        <v>491.2</v>
      </c>
      <c r="H824" s="313">
        <f>H821</f>
        <v>489.65699999999998</v>
      </c>
      <c r="I824" s="337">
        <f t="shared" si="452"/>
        <v>99.685871335504885</v>
      </c>
    </row>
    <row r="825" spans="1:9" ht="15.75" hidden="1" customHeight="1" x14ac:dyDescent="0.25">
      <c r="A825" s="45" t="s">
        <v>574</v>
      </c>
      <c r="B825" s="20" t="s">
        <v>1127</v>
      </c>
      <c r="C825" s="40" t="s">
        <v>249</v>
      </c>
      <c r="D825" s="40" t="s">
        <v>230</v>
      </c>
      <c r="E825" s="2"/>
      <c r="F825" s="2"/>
      <c r="G825" s="10">
        <f t="shared" ref="G825:H826" si="480">G826</f>
        <v>0</v>
      </c>
      <c r="H825" s="313">
        <f t="shared" si="480"/>
        <v>0</v>
      </c>
      <c r="I825" s="337" t="e">
        <f t="shared" si="452"/>
        <v>#DIV/0!</v>
      </c>
    </row>
    <row r="826" spans="1:9" ht="31.7" hidden="1" customHeight="1" x14ac:dyDescent="0.25">
      <c r="A826" s="25" t="s">
        <v>146</v>
      </c>
      <c r="B826" s="20" t="s">
        <v>1127</v>
      </c>
      <c r="C826" s="40" t="s">
        <v>249</v>
      </c>
      <c r="D826" s="40" t="s">
        <v>230</v>
      </c>
      <c r="E826" s="2">
        <v>200</v>
      </c>
      <c r="F826" s="2"/>
      <c r="G826" s="10">
        <f t="shared" si="480"/>
        <v>0</v>
      </c>
      <c r="H826" s="313">
        <f t="shared" si="480"/>
        <v>0</v>
      </c>
      <c r="I826" s="337" t="e">
        <f t="shared" si="452"/>
        <v>#DIV/0!</v>
      </c>
    </row>
    <row r="827" spans="1:9" ht="31.7" hidden="1" customHeight="1" x14ac:dyDescent="0.25">
      <c r="A827" s="25" t="s">
        <v>148</v>
      </c>
      <c r="B827" s="20" t="s">
        <v>1127</v>
      </c>
      <c r="C827" s="40" t="s">
        <v>249</v>
      </c>
      <c r="D827" s="40" t="s">
        <v>230</v>
      </c>
      <c r="E827" s="2">
        <v>240</v>
      </c>
      <c r="F827" s="2"/>
      <c r="G827" s="10">
        <f>'Пр.3 Рд,пр, ЦС,ВР 20'!F477</f>
        <v>0</v>
      </c>
      <c r="H827" s="313">
        <f>'Пр.3 Рд,пр, ЦС,ВР 20'!G477</f>
        <v>0</v>
      </c>
      <c r="I827" s="337" t="e">
        <f t="shared" si="452"/>
        <v>#DIV/0!</v>
      </c>
    </row>
    <row r="828" spans="1:9" ht="31.5" hidden="1" x14ac:dyDescent="0.25">
      <c r="A828" s="45" t="s">
        <v>638</v>
      </c>
      <c r="B828" s="20" t="s">
        <v>1127</v>
      </c>
      <c r="C828" s="40" t="s">
        <v>249</v>
      </c>
      <c r="D828" s="40" t="s">
        <v>230</v>
      </c>
      <c r="E828" s="2">
        <v>850</v>
      </c>
      <c r="F828" s="2">
        <v>908</v>
      </c>
      <c r="G828" s="10">
        <f>G827</f>
        <v>0</v>
      </c>
      <c r="H828" s="313">
        <f t="shared" ref="H828" si="481">H827</f>
        <v>0</v>
      </c>
      <c r="I828" s="337" t="e">
        <f t="shared" si="452"/>
        <v>#DIV/0!</v>
      </c>
    </row>
    <row r="829" spans="1:9" s="210" customFormat="1" ht="31.5" hidden="1" x14ac:dyDescent="0.25">
      <c r="A829" s="237" t="s">
        <v>1284</v>
      </c>
      <c r="B829" s="20" t="s">
        <v>1285</v>
      </c>
      <c r="C829" s="40" t="s">
        <v>249</v>
      </c>
      <c r="D829" s="40" t="s">
        <v>230</v>
      </c>
      <c r="E829" s="2"/>
      <c r="F829" s="2"/>
      <c r="G829" s="10">
        <f>G830</f>
        <v>0</v>
      </c>
      <c r="H829" s="313">
        <f t="shared" ref="H829:H830" si="482">H830</f>
        <v>0</v>
      </c>
      <c r="I829" s="337" t="e">
        <f t="shared" si="452"/>
        <v>#DIV/0!</v>
      </c>
    </row>
    <row r="830" spans="1:9" s="210" customFormat="1" ht="31.5" hidden="1" x14ac:dyDescent="0.25">
      <c r="A830" s="25" t="s">
        <v>146</v>
      </c>
      <c r="B830" s="20" t="s">
        <v>1285</v>
      </c>
      <c r="C830" s="40" t="s">
        <v>249</v>
      </c>
      <c r="D830" s="40" t="s">
        <v>230</v>
      </c>
      <c r="E830" s="2">
        <v>200</v>
      </c>
      <c r="F830" s="2"/>
      <c r="G830" s="10">
        <f>G831</f>
        <v>0</v>
      </c>
      <c r="H830" s="313">
        <f t="shared" si="482"/>
        <v>0</v>
      </c>
      <c r="I830" s="337" t="e">
        <f t="shared" si="452"/>
        <v>#DIV/0!</v>
      </c>
    </row>
    <row r="831" spans="1:9" s="210" customFormat="1" ht="31.5" hidden="1" x14ac:dyDescent="0.25">
      <c r="A831" s="25" t="s">
        <v>148</v>
      </c>
      <c r="B831" s="20" t="s">
        <v>1285</v>
      </c>
      <c r="C831" s="40" t="s">
        <v>249</v>
      </c>
      <c r="D831" s="40" t="s">
        <v>230</v>
      </c>
      <c r="E831" s="2">
        <v>240</v>
      </c>
      <c r="F831" s="2"/>
      <c r="G831" s="10">
        <f>'Пр.4 ведом.20'!G1134</f>
        <v>0</v>
      </c>
      <c r="H831" s="313">
        <f>'Пр.4 ведом.20'!H1134</f>
        <v>0</v>
      </c>
      <c r="I831" s="337" t="e">
        <f t="shared" si="452"/>
        <v>#DIV/0!</v>
      </c>
    </row>
    <row r="832" spans="1:9" s="210" customFormat="1" ht="31.5" hidden="1" x14ac:dyDescent="0.25">
      <c r="A832" s="45" t="s">
        <v>638</v>
      </c>
      <c r="B832" s="20" t="s">
        <v>1285</v>
      </c>
      <c r="C832" s="40" t="s">
        <v>249</v>
      </c>
      <c r="D832" s="40" t="s">
        <v>230</v>
      </c>
      <c r="E832" s="2">
        <v>240</v>
      </c>
      <c r="F832" s="2">
        <v>908</v>
      </c>
      <c r="G832" s="10">
        <f>G831</f>
        <v>0</v>
      </c>
      <c r="H832" s="313">
        <f t="shared" ref="H832" si="483">H831</f>
        <v>0</v>
      </c>
      <c r="I832" s="337" t="e">
        <f t="shared" si="452"/>
        <v>#DIV/0!</v>
      </c>
    </row>
    <row r="833" spans="1:9" s="210" customFormat="1" ht="31.5" x14ac:dyDescent="0.25">
      <c r="A833" s="23" t="s">
        <v>948</v>
      </c>
      <c r="B833" s="24" t="s">
        <v>1128</v>
      </c>
      <c r="C833" s="7"/>
      <c r="D833" s="7"/>
      <c r="E833" s="3"/>
      <c r="F833" s="3"/>
      <c r="G833" s="59">
        <f>G834</f>
        <v>1914.5</v>
      </c>
      <c r="H833" s="325">
        <f t="shared" ref="H833" si="484">H834</f>
        <v>1210.595</v>
      </c>
      <c r="I833" s="4">
        <f t="shared" si="452"/>
        <v>63.232958997127184</v>
      </c>
    </row>
    <row r="834" spans="1:9" s="210" customFormat="1" ht="15.75" x14ac:dyDescent="0.25">
      <c r="A834" s="73" t="s">
        <v>405</v>
      </c>
      <c r="B834" s="40" t="s">
        <v>1128</v>
      </c>
      <c r="C834" s="40" t="s">
        <v>249</v>
      </c>
      <c r="D834" s="40"/>
      <c r="E834" s="2"/>
      <c r="F834" s="2"/>
      <c r="G834" s="10">
        <f t="shared" ref="G834:H834" si="485">G835</f>
        <v>1914.5</v>
      </c>
      <c r="H834" s="313">
        <f t="shared" si="485"/>
        <v>1210.595</v>
      </c>
      <c r="I834" s="337">
        <f t="shared" si="452"/>
        <v>63.232958997127184</v>
      </c>
    </row>
    <row r="835" spans="1:9" s="210" customFormat="1" ht="15.75" x14ac:dyDescent="0.25">
      <c r="A835" s="73" t="s">
        <v>556</v>
      </c>
      <c r="B835" s="40" t="s">
        <v>1128</v>
      </c>
      <c r="C835" s="40" t="s">
        <v>249</v>
      </c>
      <c r="D835" s="40" t="s">
        <v>230</v>
      </c>
      <c r="E835" s="2"/>
      <c r="F835" s="2"/>
      <c r="G835" s="10">
        <f>G836+G840</f>
        <v>1914.5</v>
      </c>
      <c r="H835" s="313">
        <f t="shared" ref="H835" si="486">H836+H840</f>
        <v>1210.595</v>
      </c>
      <c r="I835" s="337">
        <f t="shared" si="452"/>
        <v>63.232958997127184</v>
      </c>
    </row>
    <row r="836" spans="1:9" s="210" customFormat="1" ht="31.5" hidden="1" x14ac:dyDescent="0.25">
      <c r="A836" s="25" t="s">
        <v>705</v>
      </c>
      <c r="B836" s="20" t="s">
        <v>1129</v>
      </c>
      <c r="C836" s="40" t="s">
        <v>249</v>
      </c>
      <c r="D836" s="40" t="s">
        <v>230</v>
      </c>
      <c r="E836" s="2"/>
      <c r="F836" s="2"/>
      <c r="G836" s="10">
        <f>G837</f>
        <v>0</v>
      </c>
      <c r="H836" s="313">
        <f t="shared" ref="H836:H837" si="487">H837</f>
        <v>0</v>
      </c>
      <c r="I836" s="337" t="e">
        <f t="shared" si="452"/>
        <v>#DIV/0!</v>
      </c>
    </row>
    <row r="837" spans="1:9" s="210" customFormat="1" ht="31.5" hidden="1" x14ac:dyDescent="0.25">
      <c r="A837" s="25" t="s">
        <v>146</v>
      </c>
      <c r="B837" s="20" t="s">
        <v>1129</v>
      </c>
      <c r="C837" s="40" t="s">
        <v>249</v>
      </c>
      <c r="D837" s="40" t="s">
        <v>230</v>
      </c>
      <c r="E837" s="20" t="s">
        <v>147</v>
      </c>
      <c r="F837" s="2"/>
      <c r="G837" s="10">
        <f>G838</f>
        <v>0</v>
      </c>
      <c r="H837" s="313">
        <f t="shared" si="487"/>
        <v>0</v>
      </c>
      <c r="I837" s="337" t="e">
        <f t="shared" si="452"/>
        <v>#DIV/0!</v>
      </c>
    </row>
    <row r="838" spans="1:9" s="210" customFormat="1" ht="31.5" hidden="1" x14ac:dyDescent="0.25">
      <c r="A838" s="25" t="s">
        <v>148</v>
      </c>
      <c r="B838" s="20" t="s">
        <v>1129</v>
      </c>
      <c r="C838" s="40" t="s">
        <v>249</v>
      </c>
      <c r="D838" s="40" t="s">
        <v>230</v>
      </c>
      <c r="E838" s="20" t="s">
        <v>149</v>
      </c>
      <c r="F838" s="2"/>
      <c r="G838" s="10">
        <f>'Пр.3 Рд,пр, ЦС,ВР 20'!F481</f>
        <v>0</v>
      </c>
      <c r="H838" s="313">
        <f>'Пр.3 Рд,пр, ЦС,ВР 20'!G481</f>
        <v>0</v>
      </c>
      <c r="I838" s="337" t="e">
        <f t="shared" si="452"/>
        <v>#DIV/0!</v>
      </c>
    </row>
    <row r="839" spans="1:9" s="210" customFormat="1" ht="31.5" hidden="1" x14ac:dyDescent="0.25">
      <c r="A839" s="45" t="s">
        <v>638</v>
      </c>
      <c r="B839" s="20" t="s">
        <v>1129</v>
      </c>
      <c r="C839" s="40" t="s">
        <v>249</v>
      </c>
      <c r="D839" s="40" t="s">
        <v>230</v>
      </c>
      <c r="E839" s="20" t="s">
        <v>149</v>
      </c>
      <c r="F839" s="2">
        <v>908</v>
      </c>
      <c r="G839" s="10">
        <f>G838</f>
        <v>0</v>
      </c>
      <c r="H839" s="313">
        <f t="shared" ref="H839" si="488">H838</f>
        <v>0</v>
      </c>
      <c r="I839" s="337" t="e">
        <f t="shared" si="452"/>
        <v>#DIV/0!</v>
      </c>
    </row>
    <row r="840" spans="1:9" s="210" customFormat="1" ht="63" x14ac:dyDescent="0.25">
      <c r="A840" s="25" t="s">
        <v>1247</v>
      </c>
      <c r="B840" s="20" t="s">
        <v>1248</v>
      </c>
      <c r="C840" s="40" t="s">
        <v>249</v>
      </c>
      <c r="D840" s="40" t="s">
        <v>230</v>
      </c>
      <c r="E840" s="20"/>
      <c r="F840" s="2"/>
      <c r="G840" s="10">
        <f>G841</f>
        <v>1914.5</v>
      </c>
      <c r="H840" s="313">
        <f t="shared" ref="H840:H841" si="489">H841</f>
        <v>1210.595</v>
      </c>
      <c r="I840" s="337">
        <f t="shared" si="452"/>
        <v>63.232958997127184</v>
      </c>
    </row>
    <row r="841" spans="1:9" s="210" customFormat="1" ht="31.5" x14ac:dyDescent="0.25">
      <c r="A841" s="25" t="s">
        <v>146</v>
      </c>
      <c r="B841" s="20" t="s">
        <v>1248</v>
      </c>
      <c r="C841" s="40" t="s">
        <v>249</v>
      </c>
      <c r="D841" s="40" t="s">
        <v>230</v>
      </c>
      <c r="E841" s="20" t="s">
        <v>147</v>
      </c>
      <c r="F841" s="2"/>
      <c r="G841" s="10">
        <f>G842</f>
        <v>1914.5</v>
      </c>
      <c r="H841" s="313">
        <f t="shared" si="489"/>
        <v>1210.595</v>
      </c>
      <c r="I841" s="337">
        <f t="shared" si="452"/>
        <v>63.232958997127184</v>
      </c>
    </row>
    <row r="842" spans="1:9" s="210" customFormat="1" ht="31.5" x14ac:dyDescent="0.25">
      <c r="A842" s="25" t="s">
        <v>148</v>
      </c>
      <c r="B842" s="20" t="s">
        <v>1248</v>
      </c>
      <c r="C842" s="40" t="s">
        <v>249</v>
      </c>
      <c r="D842" s="40" t="s">
        <v>230</v>
      </c>
      <c r="E842" s="20" t="s">
        <v>149</v>
      </c>
      <c r="F842" s="2"/>
      <c r="G842" s="10">
        <f>'Пр.3 Рд,пр, ЦС,ВР 20'!F484</f>
        <v>1914.5</v>
      </c>
      <c r="H842" s="313">
        <f>'Пр.3 Рд,пр, ЦС,ВР 20'!G484</f>
        <v>1210.595</v>
      </c>
      <c r="I842" s="337">
        <f t="shared" si="452"/>
        <v>63.232958997127184</v>
      </c>
    </row>
    <row r="843" spans="1:9" s="210" customFormat="1" ht="31.5" x14ac:dyDescent="0.25">
      <c r="A843" s="45" t="s">
        <v>638</v>
      </c>
      <c r="B843" s="20" t="s">
        <v>1248</v>
      </c>
      <c r="C843" s="40" t="s">
        <v>249</v>
      </c>
      <c r="D843" s="40" t="s">
        <v>230</v>
      </c>
      <c r="E843" s="20" t="s">
        <v>149</v>
      </c>
      <c r="F843" s="2">
        <v>908</v>
      </c>
      <c r="G843" s="10">
        <f>G842</f>
        <v>1914.5</v>
      </c>
      <c r="H843" s="313">
        <f t="shared" ref="H843" si="490">H842</f>
        <v>1210.595</v>
      </c>
      <c r="I843" s="337">
        <f t="shared" si="452"/>
        <v>63.232958997127184</v>
      </c>
    </row>
    <row r="844" spans="1:9" ht="47.25" x14ac:dyDescent="0.25">
      <c r="A844" s="34" t="s">
        <v>196</v>
      </c>
      <c r="B844" s="206" t="s">
        <v>197</v>
      </c>
      <c r="C844" s="7"/>
      <c r="D844" s="7"/>
      <c r="E844" s="7"/>
      <c r="F844" s="3"/>
      <c r="G844" s="59">
        <f>G845+G856</f>
        <v>91.084999999999994</v>
      </c>
      <c r="H844" s="325">
        <f t="shared" ref="H844" si="491">H845+H856</f>
        <v>91</v>
      </c>
      <c r="I844" s="4">
        <f t="shared" si="452"/>
        <v>99.90668057309108</v>
      </c>
    </row>
    <row r="845" spans="1:9" s="210" customFormat="1" ht="31.5" x14ac:dyDescent="0.25">
      <c r="A845" s="34" t="s">
        <v>1157</v>
      </c>
      <c r="B845" s="206" t="s">
        <v>921</v>
      </c>
      <c r="C845" s="7"/>
      <c r="D845" s="7"/>
      <c r="E845" s="7"/>
      <c r="F845" s="3"/>
      <c r="G845" s="59">
        <f>G846</f>
        <v>91.084999999999994</v>
      </c>
      <c r="H845" s="325">
        <f t="shared" ref="H845" si="492">H846</f>
        <v>91</v>
      </c>
      <c r="I845" s="4">
        <f t="shared" si="452"/>
        <v>99.90668057309108</v>
      </c>
    </row>
    <row r="846" spans="1:9" ht="15.75" x14ac:dyDescent="0.25">
      <c r="A846" s="29" t="s">
        <v>247</v>
      </c>
      <c r="B846" s="5" t="s">
        <v>921</v>
      </c>
      <c r="C846" s="40" t="s">
        <v>165</v>
      </c>
      <c r="D846" s="40"/>
      <c r="E846" s="40"/>
      <c r="F846" s="2"/>
      <c r="G846" s="10">
        <f t="shared" ref="G846:H849" si="493">G847</f>
        <v>91.084999999999994</v>
      </c>
      <c r="H846" s="313">
        <f t="shared" si="493"/>
        <v>91</v>
      </c>
      <c r="I846" s="337">
        <f t="shared" si="452"/>
        <v>99.90668057309108</v>
      </c>
    </row>
    <row r="847" spans="1:9" ht="15.75" x14ac:dyDescent="0.25">
      <c r="A847" s="29" t="s">
        <v>248</v>
      </c>
      <c r="B847" s="30" t="s">
        <v>921</v>
      </c>
      <c r="C847" s="40" t="s">
        <v>165</v>
      </c>
      <c r="D847" s="40" t="s">
        <v>249</v>
      </c>
      <c r="E847" s="40"/>
      <c r="F847" s="2"/>
      <c r="G847" s="10">
        <f>G848+G852</f>
        <v>91.084999999999994</v>
      </c>
      <c r="H847" s="313">
        <f t="shared" ref="H847" si="494">H848+H852</f>
        <v>91</v>
      </c>
      <c r="I847" s="337">
        <f t="shared" si="452"/>
        <v>99.90668057309108</v>
      </c>
    </row>
    <row r="848" spans="1:9" ht="15.75" x14ac:dyDescent="0.25">
      <c r="A848" s="25" t="s">
        <v>922</v>
      </c>
      <c r="B848" s="20" t="s">
        <v>966</v>
      </c>
      <c r="C848" s="40" t="s">
        <v>165</v>
      </c>
      <c r="D848" s="40" t="s">
        <v>249</v>
      </c>
      <c r="E848" s="40"/>
      <c r="F848" s="2"/>
      <c r="G848" s="10">
        <f t="shared" si="493"/>
        <v>9.4849999999999994</v>
      </c>
      <c r="H848" s="313">
        <f t="shared" si="493"/>
        <v>9.4849999999999994</v>
      </c>
      <c r="I848" s="337">
        <f t="shared" si="452"/>
        <v>100</v>
      </c>
    </row>
    <row r="849" spans="1:9" ht="15.75" x14ac:dyDescent="0.25">
      <c r="A849" s="29" t="s">
        <v>150</v>
      </c>
      <c r="B849" s="20" t="s">
        <v>966</v>
      </c>
      <c r="C849" s="40" t="s">
        <v>165</v>
      </c>
      <c r="D849" s="40" t="s">
        <v>249</v>
      </c>
      <c r="E849" s="40" t="s">
        <v>160</v>
      </c>
      <c r="F849" s="2"/>
      <c r="G849" s="10">
        <f t="shared" si="493"/>
        <v>9.4849999999999994</v>
      </c>
      <c r="H849" s="313">
        <f t="shared" si="493"/>
        <v>9.4849999999999994</v>
      </c>
      <c r="I849" s="337">
        <f t="shared" ref="I849:I912" si="495">H849/G849*100</f>
        <v>100</v>
      </c>
    </row>
    <row r="850" spans="1:9" ht="47.25" x14ac:dyDescent="0.25">
      <c r="A850" s="29" t="s">
        <v>199</v>
      </c>
      <c r="B850" s="20" t="s">
        <v>966</v>
      </c>
      <c r="C850" s="40" t="s">
        <v>165</v>
      </c>
      <c r="D850" s="40" t="s">
        <v>249</v>
      </c>
      <c r="E850" s="40" t="s">
        <v>175</v>
      </c>
      <c r="F850" s="2"/>
      <c r="G850" s="10">
        <f>'Пр.4 ведом.20'!G183</f>
        <v>9.4849999999999994</v>
      </c>
      <c r="H850" s="313">
        <f>'Пр.4 ведом.20'!H183</f>
        <v>9.4849999999999994</v>
      </c>
      <c r="I850" s="337">
        <f t="shared" si="495"/>
        <v>100</v>
      </c>
    </row>
    <row r="851" spans="1:9" ht="15.75" x14ac:dyDescent="0.25">
      <c r="A851" s="29" t="s">
        <v>163</v>
      </c>
      <c r="B851" s="20" t="s">
        <v>966</v>
      </c>
      <c r="C851" s="40" t="s">
        <v>165</v>
      </c>
      <c r="D851" s="40" t="s">
        <v>249</v>
      </c>
      <c r="E851" s="40" t="s">
        <v>175</v>
      </c>
      <c r="F851" s="2">
        <v>902</v>
      </c>
      <c r="G851" s="10">
        <f>G850</f>
        <v>9.4849999999999994</v>
      </c>
      <c r="H851" s="313">
        <f t="shared" ref="H851" si="496">H850</f>
        <v>9.4849999999999994</v>
      </c>
      <c r="I851" s="337">
        <f t="shared" si="495"/>
        <v>100</v>
      </c>
    </row>
    <row r="852" spans="1:9" s="210" customFormat="1" ht="31.5" x14ac:dyDescent="0.25">
      <c r="A852" s="25" t="s">
        <v>250</v>
      </c>
      <c r="B852" s="20" t="s">
        <v>925</v>
      </c>
      <c r="C852" s="40" t="s">
        <v>165</v>
      </c>
      <c r="D852" s="40" t="s">
        <v>249</v>
      </c>
      <c r="E852" s="40"/>
      <c r="F852" s="2"/>
      <c r="G852" s="10">
        <f>G853</f>
        <v>81.599999999999994</v>
      </c>
      <c r="H852" s="313">
        <f t="shared" ref="H852:H853" si="497">H853</f>
        <v>81.515000000000001</v>
      </c>
      <c r="I852" s="337">
        <f t="shared" si="495"/>
        <v>99.895833333333343</v>
      </c>
    </row>
    <row r="853" spans="1:9" s="210" customFormat="1" ht="15.75" x14ac:dyDescent="0.25">
      <c r="A853" s="25" t="s">
        <v>150</v>
      </c>
      <c r="B853" s="20" t="s">
        <v>925</v>
      </c>
      <c r="C853" s="40" t="s">
        <v>165</v>
      </c>
      <c r="D853" s="40" t="s">
        <v>249</v>
      </c>
      <c r="E853" s="40" t="s">
        <v>160</v>
      </c>
      <c r="F853" s="2"/>
      <c r="G853" s="10">
        <f>G854</f>
        <v>81.599999999999994</v>
      </c>
      <c r="H853" s="313">
        <f t="shared" si="497"/>
        <v>81.515000000000001</v>
      </c>
      <c r="I853" s="337">
        <f t="shared" si="495"/>
        <v>99.895833333333343</v>
      </c>
    </row>
    <row r="854" spans="1:9" s="210" customFormat="1" ht="47.25" x14ac:dyDescent="0.25">
      <c r="A854" s="25" t="s">
        <v>199</v>
      </c>
      <c r="B854" s="20" t="s">
        <v>925</v>
      </c>
      <c r="C854" s="40" t="s">
        <v>165</v>
      </c>
      <c r="D854" s="40" t="s">
        <v>249</v>
      </c>
      <c r="E854" s="40" t="s">
        <v>175</v>
      </c>
      <c r="F854" s="2"/>
      <c r="G854" s="10">
        <f>'Пр.3 Рд,пр, ЦС,ВР 20'!F278</f>
        <v>81.599999999999994</v>
      </c>
      <c r="H854" s="313">
        <f>'Пр.3 Рд,пр, ЦС,ВР 20'!G278</f>
        <v>81.515000000000001</v>
      </c>
      <c r="I854" s="337">
        <f t="shared" si="495"/>
        <v>99.895833333333343</v>
      </c>
    </row>
    <row r="855" spans="1:9" s="210" customFormat="1" ht="15.75" x14ac:dyDescent="0.25">
      <c r="A855" s="29" t="s">
        <v>163</v>
      </c>
      <c r="B855" s="20" t="s">
        <v>925</v>
      </c>
      <c r="C855" s="40" t="s">
        <v>165</v>
      </c>
      <c r="D855" s="40" t="s">
        <v>249</v>
      </c>
      <c r="E855" s="40" t="s">
        <v>175</v>
      </c>
      <c r="F855" s="2">
        <v>902</v>
      </c>
      <c r="G855" s="10">
        <f>G854</f>
        <v>81.599999999999994</v>
      </c>
      <c r="H855" s="313">
        <f t="shared" ref="H855" si="498">H854</f>
        <v>81.515000000000001</v>
      </c>
      <c r="I855" s="337">
        <f t="shared" si="495"/>
        <v>99.895833333333343</v>
      </c>
    </row>
    <row r="856" spans="1:9" s="210" customFormat="1" ht="47.25" hidden="1" x14ac:dyDescent="0.25">
      <c r="A856" s="219" t="s">
        <v>1158</v>
      </c>
      <c r="B856" s="24" t="s">
        <v>924</v>
      </c>
      <c r="C856" s="40"/>
      <c r="D856" s="40"/>
      <c r="E856" s="40"/>
      <c r="F856" s="2"/>
      <c r="G856" s="10">
        <f>G857</f>
        <v>0</v>
      </c>
      <c r="H856" s="313">
        <f t="shared" ref="H856:H860" si="499">H857</f>
        <v>0</v>
      </c>
      <c r="I856" s="337" t="e">
        <f t="shared" si="495"/>
        <v>#DIV/0!</v>
      </c>
    </row>
    <row r="857" spans="1:9" s="210" customFormat="1" ht="15.75" hidden="1" x14ac:dyDescent="0.25">
      <c r="A857" s="29" t="s">
        <v>247</v>
      </c>
      <c r="B857" s="5" t="s">
        <v>921</v>
      </c>
      <c r="C857" s="40" t="s">
        <v>165</v>
      </c>
      <c r="D857" s="40"/>
      <c r="E857" s="40"/>
      <c r="F857" s="2"/>
      <c r="G857" s="10">
        <f>G858</f>
        <v>0</v>
      </c>
      <c r="H857" s="313">
        <f t="shared" si="499"/>
        <v>0</v>
      </c>
      <c r="I857" s="337" t="e">
        <f t="shared" si="495"/>
        <v>#DIV/0!</v>
      </c>
    </row>
    <row r="858" spans="1:9" s="210" customFormat="1" ht="15.75" hidden="1" x14ac:dyDescent="0.25">
      <c r="A858" s="29" t="s">
        <v>248</v>
      </c>
      <c r="B858" s="30" t="s">
        <v>921</v>
      </c>
      <c r="C858" s="40" t="s">
        <v>165</v>
      </c>
      <c r="D858" s="40" t="s">
        <v>249</v>
      </c>
      <c r="E858" s="40"/>
      <c r="F858" s="2"/>
      <c r="G858" s="10">
        <f>G859</f>
        <v>0</v>
      </c>
      <c r="H858" s="313">
        <f t="shared" si="499"/>
        <v>0</v>
      </c>
      <c r="I858" s="337" t="e">
        <f t="shared" si="495"/>
        <v>#DIV/0!</v>
      </c>
    </row>
    <row r="859" spans="1:9" s="210" customFormat="1" ht="15.75" hidden="1" x14ac:dyDescent="0.25">
      <c r="A859" s="25" t="s">
        <v>923</v>
      </c>
      <c r="B859" s="5" t="s">
        <v>967</v>
      </c>
      <c r="C859" s="40" t="s">
        <v>165</v>
      </c>
      <c r="D859" s="40" t="s">
        <v>249</v>
      </c>
      <c r="E859" s="40"/>
      <c r="F859" s="2"/>
      <c r="G859" s="10">
        <f>G860</f>
        <v>0</v>
      </c>
      <c r="H859" s="313">
        <f t="shared" si="499"/>
        <v>0</v>
      </c>
      <c r="I859" s="337" t="e">
        <f t="shared" si="495"/>
        <v>#DIV/0!</v>
      </c>
    </row>
    <row r="860" spans="1:9" s="210" customFormat="1" ht="15.75" hidden="1" x14ac:dyDescent="0.25">
      <c r="A860" s="29" t="s">
        <v>150</v>
      </c>
      <c r="B860" s="5" t="s">
        <v>967</v>
      </c>
      <c r="C860" s="40" t="s">
        <v>165</v>
      </c>
      <c r="D860" s="40" t="s">
        <v>249</v>
      </c>
      <c r="E860" s="40" t="s">
        <v>160</v>
      </c>
      <c r="F860" s="2"/>
      <c r="G860" s="10">
        <f>G861</f>
        <v>0</v>
      </c>
      <c r="H860" s="313">
        <f t="shared" si="499"/>
        <v>0</v>
      </c>
      <c r="I860" s="337" t="e">
        <f t="shared" si="495"/>
        <v>#DIV/0!</v>
      </c>
    </row>
    <row r="861" spans="1:9" s="210" customFormat="1" ht="47.25" hidden="1" x14ac:dyDescent="0.25">
      <c r="A861" s="29" t="s">
        <v>199</v>
      </c>
      <c r="B861" s="5" t="s">
        <v>967</v>
      </c>
      <c r="C861" s="40" t="s">
        <v>165</v>
      </c>
      <c r="D861" s="40" t="s">
        <v>249</v>
      </c>
      <c r="E861" s="40" t="s">
        <v>175</v>
      </c>
      <c r="F861" s="2"/>
      <c r="G861" s="10">
        <f>'Пр.3 Рд,пр, ЦС,ВР 20'!F282</f>
        <v>0</v>
      </c>
      <c r="H861" s="313">
        <f>'Пр.3 Рд,пр, ЦС,ВР 20'!G282</f>
        <v>0</v>
      </c>
      <c r="I861" s="337" t="e">
        <f t="shared" si="495"/>
        <v>#DIV/0!</v>
      </c>
    </row>
    <row r="862" spans="1:9" s="210" customFormat="1" ht="15.75" hidden="1" x14ac:dyDescent="0.25">
      <c r="A862" s="29" t="s">
        <v>163</v>
      </c>
      <c r="B862" s="20" t="s">
        <v>925</v>
      </c>
      <c r="C862" s="40" t="s">
        <v>165</v>
      </c>
      <c r="D862" s="40" t="s">
        <v>249</v>
      </c>
      <c r="E862" s="40" t="s">
        <v>175</v>
      </c>
      <c r="F862" s="2">
        <v>902</v>
      </c>
      <c r="G862" s="10">
        <f>G861</f>
        <v>0</v>
      </c>
      <c r="H862" s="313">
        <f t="shared" ref="H862" si="500">H861</f>
        <v>0</v>
      </c>
      <c r="I862" s="337" t="e">
        <f t="shared" si="495"/>
        <v>#DIV/0!</v>
      </c>
    </row>
    <row r="863" spans="1:9" ht="52.5" customHeight="1" x14ac:dyDescent="0.25">
      <c r="A863" s="41" t="s">
        <v>1348</v>
      </c>
      <c r="B863" s="7" t="s">
        <v>533</v>
      </c>
      <c r="C863" s="7"/>
      <c r="D863" s="7"/>
      <c r="E863" s="72"/>
      <c r="F863" s="3"/>
      <c r="G863" s="59">
        <f>G864+G871+G878+G885+G892+G899+G906</f>
        <v>199</v>
      </c>
      <c r="H863" s="325">
        <f t="shared" ref="H863" si="501">H864+H871+H878+H885+H892+H899+H906</f>
        <v>199</v>
      </c>
      <c r="I863" s="4">
        <f t="shared" si="495"/>
        <v>100</v>
      </c>
    </row>
    <row r="864" spans="1:9" s="210" customFormat="1" ht="31.7" hidden="1" customHeight="1" x14ac:dyDescent="0.25">
      <c r="A864" s="23" t="s">
        <v>1097</v>
      </c>
      <c r="B864" s="24" t="s">
        <v>1099</v>
      </c>
      <c r="C864" s="40"/>
      <c r="D864" s="40"/>
      <c r="E864" s="40"/>
      <c r="F864" s="2"/>
      <c r="G864" s="59">
        <f>G865</f>
        <v>0</v>
      </c>
      <c r="H864" s="325">
        <f t="shared" ref="H864" si="502">H865</f>
        <v>0</v>
      </c>
      <c r="I864" s="4" t="e">
        <f t="shared" si="495"/>
        <v>#DIV/0!</v>
      </c>
    </row>
    <row r="865" spans="1:9" s="210" customFormat="1" ht="18" hidden="1" customHeight="1" x14ac:dyDescent="0.25">
      <c r="A865" s="29" t="s">
        <v>405</v>
      </c>
      <c r="B865" s="40" t="s">
        <v>1099</v>
      </c>
      <c r="C865" s="40" t="s">
        <v>249</v>
      </c>
      <c r="D865" s="40"/>
      <c r="E865" s="73"/>
      <c r="F865" s="2"/>
      <c r="G865" s="10">
        <f t="shared" ref="G865:H866" si="503">G866</f>
        <v>0</v>
      </c>
      <c r="H865" s="313">
        <f t="shared" si="503"/>
        <v>0</v>
      </c>
      <c r="I865" s="4" t="e">
        <f t="shared" si="495"/>
        <v>#DIV/0!</v>
      </c>
    </row>
    <row r="866" spans="1:9" s="210" customFormat="1" ht="19.5" hidden="1" customHeight="1" x14ac:dyDescent="0.25">
      <c r="A866" s="29" t="s">
        <v>532</v>
      </c>
      <c r="B866" s="40" t="s">
        <v>1099</v>
      </c>
      <c r="C866" s="40" t="s">
        <v>249</v>
      </c>
      <c r="D866" s="40" t="s">
        <v>228</v>
      </c>
      <c r="E866" s="73"/>
      <c r="F866" s="2"/>
      <c r="G866" s="10">
        <f>G867</f>
        <v>0</v>
      </c>
      <c r="H866" s="313">
        <f t="shared" si="503"/>
        <v>0</v>
      </c>
      <c r="I866" s="4" t="e">
        <f t="shared" si="495"/>
        <v>#DIV/0!</v>
      </c>
    </row>
    <row r="867" spans="1:9" ht="15.75" hidden="1" x14ac:dyDescent="0.25">
      <c r="A867" s="45" t="s">
        <v>536</v>
      </c>
      <c r="B867" s="20" t="s">
        <v>1100</v>
      </c>
      <c r="C867" s="40" t="s">
        <v>249</v>
      </c>
      <c r="D867" s="40" t="s">
        <v>228</v>
      </c>
      <c r="E867" s="40"/>
      <c r="F867" s="2"/>
      <c r="G867" s="10">
        <f t="shared" ref="G867:H868" si="504">G868</f>
        <v>0</v>
      </c>
      <c r="H867" s="313">
        <f t="shared" si="504"/>
        <v>0</v>
      </c>
      <c r="I867" s="4" t="e">
        <f t="shared" si="495"/>
        <v>#DIV/0!</v>
      </c>
    </row>
    <row r="868" spans="1:9" ht="31.5" hidden="1" x14ac:dyDescent="0.25">
      <c r="A868" s="31" t="s">
        <v>146</v>
      </c>
      <c r="B868" s="20" t="s">
        <v>1100</v>
      </c>
      <c r="C868" s="40" t="s">
        <v>249</v>
      </c>
      <c r="D868" s="40" t="s">
        <v>228</v>
      </c>
      <c r="E868" s="40" t="s">
        <v>147</v>
      </c>
      <c r="F868" s="2"/>
      <c r="G868" s="10">
        <f t="shared" si="504"/>
        <v>0</v>
      </c>
      <c r="H868" s="313">
        <f t="shared" si="504"/>
        <v>0</v>
      </c>
      <c r="I868" s="4" t="e">
        <f t="shared" si="495"/>
        <v>#DIV/0!</v>
      </c>
    </row>
    <row r="869" spans="1:9" ht="31.5" hidden="1" x14ac:dyDescent="0.25">
      <c r="A869" s="31" t="s">
        <v>148</v>
      </c>
      <c r="B869" s="20" t="s">
        <v>1100</v>
      </c>
      <c r="C869" s="40" t="s">
        <v>249</v>
      </c>
      <c r="D869" s="40" t="s">
        <v>228</v>
      </c>
      <c r="E869" s="40" t="s">
        <v>149</v>
      </c>
      <c r="F869" s="2"/>
      <c r="G869" s="10">
        <f>'Пр.3 Рд,пр, ЦС,ВР 20'!F409</f>
        <v>0</v>
      </c>
      <c r="H869" s="313">
        <f>'Пр.3 Рд,пр, ЦС,ВР 20'!G409</f>
        <v>0</v>
      </c>
      <c r="I869" s="4" t="e">
        <f t="shared" si="495"/>
        <v>#DIV/0!</v>
      </c>
    </row>
    <row r="870" spans="1:9" s="210" customFormat="1" ht="31.5" hidden="1" x14ac:dyDescent="0.25">
      <c r="A870" s="45" t="s">
        <v>638</v>
      </c>
      <c r="B870" s="20" t="s">
        <v>1100</v>
      </c>
      <c r="C870" s="40" t="s">
        <v>249</v>
      </c>
      <c r="D870" s="40" t="s">
        <v>228</v>
      </c>
      <c r="E870" s="40" t="s">
        <v>149</v>
      </c>
      <c r="F870" s="2">
        <v>908</v>
      </c>
      <c r="G870" s="6">
        <f>G869</f>
        <v>0</v>
      </c>
      <c r="H870" s="337">
        <f t="shared" ref="H870" si="505">H869</f>
        <v>0</v>
      </c>
      <c r="I870" s="4" t="e">
        <f t="shared" si="495"/>
        <v>#DIV/0!</v>
      </c>
    </row>
    <row r="871" spans="1:9" s="210" customFormat="1" ht="31.5" x14ac:dyDescent="0.25">
      <c r="A871" s="34" t="s">
        <v>1101</v>
      </c>
      <c r="B871" s="24" t="s">
        <v>1102</v>
      </c>
      <c r="C871" s="40"/>
      <c r="D871" s="40"/>
      <c r="E871" s="40"/>
      <c r="F871" s="2"/>
      <c r="G871" s="59">
        <f>G872</f>
        <v>155</v>
      </c>
      <c r="H871" s="325">
        <f t="shared" ref="H871" si="506">H872</f>
        <v>155</v>
      </c>
      <c r="I871" s="4">
        <f t="shared" si="495"/>
        <v>100</v>
      </c>
    </row>
    <row r="872" spans="1:9" s="210" customFormat="1" ht="15.75" x14ac:dyDescent="0.25">
      <c r="A872" s="29" t="s">
        <v>405</v>
      </c>
      <c r="B872" s="40" t="s">
        <v>1102</v>
      </c>
      <c r="C872" s="40" t="s">
        <v>249</v>
      </c>
      <c r="D872" s="40"/>
      <c r="E872" s="73"/>
      <c r="F872" s="2"/>
      <c r="G872" s="10">
        <f t="shared" ref="G872:H874" si="507">G873</f>
        <v>155</v>
      </c>
      <c r="H872" s="313">
        <f t="shared" si="507"/>
        <v>155</v>
      </c>
      <c r="I872" s="337">
        <f t="shared" si="495"/>
        <v>100</v>
      </c>
    </row>
    <row r="873" spans="1:9" s="210" customFormat="1" ht="15.75" x14ac:dyDescent="0.25">
      <c r="A873" s="29" t="s">
        <v>532</v>
      </c>
      <c r="B873" s="40" t="s">
        <v>1102</v>
      </c>
      <c r="C873" s="40" t="s">
        <v>249</v>
      </c>
      <c r="D873" s="40" t="s">
        <v>228</v>
      </c>
      <c r="E873" s="73"/>
      <c r="F873" s="2"/>
      <c r="G873" s="10">
        <f>G874</f>
        <v>155</v>
      </c>
      <c r="H873" s="313">
        <f t="shared" si="507"/>
        <v>155</v>
      </c>
      <c r="I873" s="337">
        <f t="shared" si="495"/>
        <v>100</v>
      </c>
    </row>
    <row r="874" spans="1:9" ht="15.75" customHeight="1" x14ac:dyDescent="0.25">
      <c r="A874" s="45" t="s">
        <v>538</v>
      </c>
      <c r="B874" s="20" t="s">
        <v>1105</v>
      </c>
      <c r="C874" s="40" t="s">
        <v>249</v>
      </c>
      <c r="D874" s="40" t="s">
        <v>228</v>
      </c>
      <c r="E874" s="40"/>
      <c r="F874" s="2"/>
      <c r="G874" s="10">
        <f>G875</f>
        <v>155</v>
      </c>
      <c r="H874" s="313">
        <f t="shared" si="507"/>
        <v>155</v>
      </c>
      <c r="I874" s="337">
        <f t="shared" si="495"/>
        <v>100</v>
      </c>
    </row>
    <row r="875" spans="1:9" ht="31.7" customHeight="1" x14ac:dyDescent="0.25">
      <c r="A875" s="31" t="s">
        <v>146</v>
      </c>
      <c r="B875" s="20" t="s">
        <v>1105</v>
      </c>
      <c r="C875" s="40" t="s">
        <v>249</v>
      </c>
      <c r="D875" s="40" t="s">
        <v>228</v>
      </c>
      <c r="E875" s="40" t="s">
        <v>147</v>
      </c>
      <c r="F875" s="2"/>
      <c r="G875" s="10">
        <f t="shared" ref="G875:H875" si="508">G876</f>
        <v>155</v>
      </c>
      <c r="H875" s="313">
        <f t="shared" si="508"/>
        <v>155</v>
      </c>
      <c r="I875" s="337">
        <f t="shared" si="495"/>
        <v>100</v>
      </c>
    </row>
    <row r="876" spans="1:9" ht="31.7" customHeight="1" x14ac:dyDescent="0.25">
      <c r="A876" s="31" t="s">
        <v>148</v>
      </c>
      <c r="B876" s="20" t="s">
        <v>1105</v>
      </c>
      <c r="C876" s="40" t="s">
        <v>249</v>
      </c>
      <c r="D876" s="40" t="s">
        <v>228</v>
      </c>
      <c r="E876" s="40" t="s">
        <v>149</v>
      </c>
      <c r="F876" s="2"/>
      <c r="G876" s="10">
        <f>'Пр.3 Рд,пр, ЦС,ВР 20'!F413</f>
        <v>155</v>
      </c>
      <c r="H876" s="313">
        <f>'Пр.3 Рд,пр, ЦС,ВР 20'!G413</f>
        <v>155</v>
      </c>
      <c r="I876" s="337">
        <f t="shared" si="495"/>
        <v>100</v>
      </c>
    </row>
    <row r="877" spans="1:9" s="210" customFormat="1" ht="31.7" customHeight="1" x14ac:dyDescent="0.25">
      <c r="A877" s="45" t="s">
        <v>638</v>
      </c>
      <c r="B877" s="20" t="s">
        <v>1105</v>
      </c>
      <c r="C877" s="40" t="s">
        <v>249</v>
      </c>
      <c r="D877" s="40" t="s">
        <v>228</v>
      </c>
      <c r="E877" s="40" t="s">
        <v>149</v>
      </c>
      <c r="F877" s="2">
        <v>908</v>
      </c>
      <c r="G877" s="6">
        <f>G876</f>
        <v>155</v>
      </c>
      <c r="H877" s="337">
        <f t="shared" ref="H877" si="509">H876</f>
        <v>155</v>
      </c>
      <c r="I877" s="337">
        <f t="shared" si="495"/>
        <v>100</v>
      </c>
    </row>
    <row r="878" spans="1:9" s="210" customFormat="1" ht="15.75" hidden="1" customHeight="1" x14ac:dyDescent="0.25">
      <c r="A878" s="58" t="s">
        <v>1103</v>
      </c>
      <c r="B878" s="24" t="s">
        <v>1104</v>
      </c>
      <c r="C878" s="40"/>
      <c r="D878" s="40"/>
      <c r="E878" s="40"/>
      <c r="F878" s="2"/>
      <c r="G878" s="59">
        <f>G879</f>
        <v>0</v>
      </c>
      <c r="H878" s="325">
        <f t="shared" ref="H878" si="510">H879</f>
        <v>0</v>
      </c>
      <c r="I878" s="337" t="e">
        <f t="shared" si="495"/>
        <v>#DIV/0!</v>
      </c>
    </row>
    <row r="879" spans="1:9" s="210" customFormat="1" ht="15.75" hidden="1" customHeight="1" x14ac:dyDescent="0.25">
      <c r="A879" s="29" t="s">
        <v>405</v>
      </c>
      <c r="B879" s="40" t="s">
        <v>1104</v>
      </c>
      <c r="C879" s="40" t="s">
        <v>249</v>
      </c>
      <c r="D879" s="40"/>
      <c r="E879" s="73"/>
      <c r="F879" s="2"/>
      <c r="G879" s="10">
        <f t="shared" ref="G879:H881" si="511">G880</f>
        <v>0</v>
      </c>
      <c r="H879" s="313">
        <f t="shared" si="511"/>
        <v>0</v>
      </c>
      <c r="I879" s="337" t="e">
        <f t="shared" si="495"/>
        <v>#DIV/0!</v>
      </c>
    </row>
    <row r="880" spans="1:9" s="210" customFormat="1" ht="15.75" hidden="1" customHeight="1" x14ac:dyDescent="0.25">
      <c r="A880" s="29" t="s">
        <v>532</v>
      </c>
      <c r="B880" s="40" t="s">
        <v>1104</v>
      </c>
      <c r="C880" s="40" t="s">
        <v>249</v>
      </c>
      <c r="D880" s="40" t="s">
        <v>228</v>
      </c>
      <c r="E880" s="73"/>
      <c r="F880" s="2"/>
      <c r="G880" s="10">
        <f>G881</f>
        <v>0</v>
      </c>
      <c r="H880" s="313">
        <f t="shared" si="511"/>
        <v>0</v>
      </c>
      <c r="I880" s="337" t="e">
        <f t="shared" si="495"/>
        <v>#DIV/0!</v>
      </c>
    </row>
    <row r="881" spans="1:9" ht="15.75" hidden="1" customHeight="1" x14ac:dyDescent="0.25">
      <c r="A881" s="45" t="s">
        <v>540</v>
      </c>
      <c r="B881" s="20" t="s">
        <v>1106</v>
      </c>
      <c r="C881" s="40" t="s">
        <v>249</v>
      </c>
      <c r="D881" s="40" t="s">
        <v>228</v>
      </c>
      <c r="E881" s="40"/>
      <c r="F881" s="2"/>
      <c r="G881" s="10">
        <f>G882</f>
        <v>0</v>
      </c>
      <c r="H881" s="313">
        <f t="shared" si="511"/>
        <v>0</v>
      </c>
      <c r="I881" s="337" t="e">
        <f t="shared" si="495"/>
        <v>#DIV/0!</v>
      </c>
    </row>
    <row r="882" spans="1:9" ht="31.7" hidden="1" customHeight="1" x14ac:dyDescent="0.25">
      <c r="A882" s="31" t="s">
        <v>146</v>
      </c>
      <c r="B882" s="20" t="s">
        <v>1106</v>
      </c>
      <c r="C882" s="40" t="s">
        <v>249</v>
      </c>
      <c r="D882" s="40" t="s">
        <v>228</v>
      </c>
      <c r="E882" s="40" t="s">
        <v>147</v>
      </c>
      <c r="F882" s="2"/>
      <c r="G882" s="10">
        <f t="shared" ref="G882:H882" si="512">G883</f>
        <v>0</v>
      </c>
      <c r="H882" s="313">
        <f t="shared" si="512"/>
        <v>0</v>
      </c>
      <c r="I882" s="337" t="e">
        <f t="shared" si="495"/>
        <v>#DIV/0!</v>
      </c>
    </row>
    <row r="883" spans="1:9" ht="31.7" hidden="1" customHeight="1" x14ac:dyDescent="0.25">
      <c r="A883" s="31" t="s">
        <v>148</v>
      </c>
      <c r="B883" s="20" t="s">
        <v>1106</v>
      </c>
      <c r="C883" s="40" t="s">
        <v>249</v>
      </c>
      <c r="D883" s="40" t="s">
        <v>228</v>
      </c>
      <c r="E883" s="40" t="s">
        <v>149</v>
      </c>
      <c r="F883" s="2"/>
      <c r="G883" s="10">
        <f>'Пр.3 Рд,пр, ЦС,ВР 20'!F417</f>
        <v>0</v>
      </c>
      <c r="H883" s="313">
        <f>'Пр.3 Рд,пр, ЦС,ВР 20'!G417</f>
        <v>0</v>
      </c>
      <c r="I883" s="337" t="e">
        <f t="shared" si="495"/>
        <v>#DIV/0!</v>
      </c>
    </row>
    <row r="884" spans="1:9" s="210" customFormat="1" ht="31.7" hidden="1" customHeight="1" x14ac:dyDescent="0.25">
      <c r="A884" s="45" t="s">
        <v>638</v>
      </c>
      <c r="B884" s="20" t="s">
        <v>1106</v>
      </c>
      <c r="C884" s="40" t="s">
        <v>249</v>
      </c>
      <c r="D884" s="40" t="s">
        <v>228</v>
      </c>
      <c r="E884" s="40" t="s">
        <v>149</v>
      </c>
      <c r="F884" s="2">
        <v>908</v>
      </c>
      <c r="G884" s="6">
        <f>G883</f>
        <v>0</v>
      </c>
      <c r="H884" s="337">
        <f t="shared" ref="H884" si="513">H883</f>
        <v>0</v>
      </c>
      <c r="I884" s="337" t="e">
        <f t="shared" si="495"/>
        <v>#DIV/0!</v>
      </c>
    </row>
    <row r="885" spans="1:9" s="210" customFormat="1" ht="15.75" customHeight="1" x14ac:dyDescent="0.25">
      <c r="A885" s="58" t="s">
        <v>1107</v>
      </c>
      <c r="B885" s="24" t="s">
        <v>1108</v>
      </c>
      <c r="C885" s="40"/>
      <c r="D885" s="40"/>
      <c r="E885" s="40"/>
      <c r="F885" s="2"/>
      <c r="G885" s="59">
        <f>G886</f>
        <v>44</v>
      </c>
      <c r="H885" s="325">
        <f t="shared" ref="H885:H887" si="514">H886</f>
        <v>44</v>
      </c>
      <c r="I885" s="4">
        <f t="shared" si="495"/>
        <v>100</v>
      </c>
    </row>
    <row r="886" spans="1:9" s="210" customFormat="1" ht="15.75" customHeight="1" x14ac:dyDescent="0.25">
      <c r="A886" s="29" t="s">
        <v>405</v>
      </c>
      <c r="B886" s="40" t="s">
        <v>1108</v>
      </c>
      <c r="C886" s="40" t="s">
        <v>249</v>
      </c>
      <c r="D886" s="40"/>
      <c r="E886" s="73"/>
      <c r="F886" s="2"/>
      <c r="G886" s="10">
        <f>G887</f>
        <v>44</v>
      </c>
      <c r="H886" s="313">
        <f t="shared" si="514"/>
        <v>44</v>
      </c>
      <c r="I886" s="337">
        <f t="shared" si="495"/>
        <v>100</v>
      </c>
    </row>
    <row r="887" spans="1:9" s="210" customFormat="1" ht="15.75" customHeight="1" x14ac:dyDescent="0.25">
      <c r="A887" s="29" t="s">
        <v>532</v>
      </c>
      <c r="B887" s="40" t="s">
        <v>1108</v>
      </c>
      <c r="C887" s="40" t="s">
        <v>249</v>
      </c>
      <c r="D887" s="40" t="s">
        <v>228</v>
      </c>
      <c r="E887" s="73"/>
      <c r="F887" s="2"/>
      <c r="G887" s="10">
        <f>G888</f>
        <v>44</v>
      </c>
      <c r="H887" s="313">
        <f t="shared" si="514"/>
        <v>44</v>
      </c>
      <c r="I887" s="337">
        <f t="shared" si="495"/>
        <v>100</v>
      </c>
    </row>
    <row r="888" spans="1:9" ht="15.75" x14ac:dyDescent="0.25">
      <c r="A888" s="45" t="s">
        <v>542</v>
      </c>
      <c r="B888" s="20" t="s">
        <v>1109</v>
      </c>
      <c r="C888" s="40" t="s">
        <v>249</v>
      </c>
      <c r="D888" s="40" t="s">
        <v>228</v>
      </c>
      <c r="E888" s="40"/>
      <c r="F888" s="2"/>
      <c r="G888" s="10">
        <f t="shared" ref="G888:H889" si="515">G889</f>
        <v>44</v>
      </c>
      <c r="H888" s="313">
        <f t="shared" si="515"/>
        <v>44</v>
      </c>
      <c r="I888" s="337">
        <f t="shared" si="495"/>
        <v>100</v>
      </c>
    </row>
    <row r="889" spans="1:9" ht="31.5" x14ac:dyDescent="0.25">
      <c r="A889" s="31" t="s">
        <v>146</v>
      </c>
      <c r="B889" s="20" t="s">
        <v>1109</v>
      </c>
      <c r="C889" s="40" t="s">
        <v>249</v>
      </c>
      <c r="D889" s="40" t="s">
        <v>228</v>
      </c>
      <c r="E889" s="40" t="s">
        <v>147</v>
      </c>
      <c r="F889" s="2"/>
      <c r="G889" s="10">
        <f t="shared" si="515"/>
        <v>44</v>
      </c>
      <c r="H889" s="313">
        <f t="shared" si="515"/>
        <v>44</v>
      </c>
      <c r="I889" s="337">
        <f t="shared" si="495"/>
        <v>100</v>
      </c>
    </row>
    <row r="890" spans="1:9" ht="31.5" x14ac:dyDescent="0.25">
      <c r="A890" s="31" t="s">
        <v>148</v>
      </c>
      <c r="B890" s="20" t="s">
        <v>1109</v>
      </c>
      <c r="C890" s="40" t="s">
        <v>249</v>
      </c>
      <c r="D890" s="40" t="s">
        <v>228</v>
      </c>
      <c r="E890" s="40" t="s">
        <v>149</v>
      </c>
      <c r="F890" s="2"/>
      <c r="G890" s="10">
        <f>'Пр.3 Рд,пр, ЦС,ВР 20'!F421</f>
        <v>44</v>
      </c>
      <c r="H890" s="313">
        <f>'Пр.3 Рд,пр, ЦС,ВР 20'!G421</f>
        <v>44</v>
      </c>
      <c r="I890" s="337">
        <f t="shared" si="495"/>
        <v>100</v>
      </c>
    </row>
    <row r="891" spans="1:9" s="210" customFormat="1" ht="31.5" x14ac:dyDescent="0.25">
      <c r="A891" s="45" t="s">
        <v>638</v>
      </c>
      <c r="B891" s="20" t="s">
        <v>1109</v>
      </c>
      <c r="C891" s="40" t="s">
        <v>249</v>
      </c>
      <c r="D891" s="40" t="s">
        <v>228</v>
      </c>
      <c r="E891" s="40" t="s">
        <v>149</v>
      </c>
      <c r="F891" s="2">
        <v>908</v>
      </c>
      <c r="G891" s="6">
        <f>G890</f>
        <v>44</v>
      </c>
      <c r="H891" s="337">
        <f t="shared" ref="H891" si="516">H890</f>
        <v>44</v>
      </c>
      <c r="I891" s="337">
        <f t="shared" si="495"/>
        <v>100</v>
      </c>
    </row>
    <row r="892" spans="1:9" s="210" customFormat="1" ht="31.5" hidden="1" x14ac:dyDescent="0.25">
      <c r="A892" s="34" t="s">
        <v>1170</v>
      </c>
      <c r="B892" s="24" t="s">
        <v>1171</v>
      </c>
      <c r="C892" s="40"/>
      <c r="D892" s="40"/>
      <c r="E892" s="40"/>
      <c r="F892" s="2"/>
      <c r="G892" s="59">
        <f>G893</f>
        <v>0</v>
      </c>
      <c r="H892" s="325">
        <f t="shared" ref="H892" si="517">H893</f>
        <v>0</v>
      </c>
      <c r="I892" s="337" t="e">
        <f t="shared" si="495"/>
        <v>#DIV/0!</v>
      </c>
    </row>
    <row r="893" spans="1:9" s="210" customFormat="1" ht="15.75" hidden="1" x14ac:dyDescent="0.25">
      <c r="A893" s="29" t="s">
        <v>405</v>
      </c>
      <c r="B893" s="40" t="s">
        <v>533</v>
      </c>
      <c r="C893" s="40" t="s">
        <v>249</v>
      </c>
      <c r="D893" s="40"/>
      <c r="E893" s="73"/>
      <c r="F893" s="2"/>
      <c r="G893" s="10">
        <f t="shared" ref="G893:H894" si="518">G894</f>
        <v>0</v>
      </c>
      <c r="H893" s="313">
        <f t="shared" si="518"/>
        <v>0</v>
      </c>
      <c r="I893" s="337" t="e">
        <f t="shared" si="495"/>
        <v>#DIV/0!</v>
      </c>
    </row>
    <row r="894" spans="1:9" s="210" customFormat="1" ht="15.75" hidden="1" x14ac:dyDescent="0.25">
      <c r="A894" s="29" t="s">
        <v>532</v>
      </c>
      <c r="B894" s="40" t="s">
        <v>533</v>
      </c>
      <c r="C894" s="40" t="s">
        <v>249</v>
      </c>
      <c r="D894" s="40" t="s">
        <v>228</v>
      </c>
      <c r="E894" s="73"/>
      <c r="F894" s="2"/>
      <c r="G894" s="10">
        <f>G895</f>
        <v>0</v>
      </c>
      <c r="H894" s="313">
        <f t="shared" si="518"/>
        <v>0</v>
      </c>
      <c r="I894" s="337" t="e">
        <f t="shared" si="495"/>
        <v>#DIV/0!</v>
      </c>
    </row>
    <row r="895" spans="1:9" ht="15.75" hidden="1" customHeight="1" x14ac:dyDescent="0.25">
      <c r="A895" s="45" t="s">
        <v>544</v>
      </c>
      <c r="B895" s="20" t="s">
        <v>1174</v>
      </c>
      <c r="C895" s="40" t="s">
        <v>249</v>
      </c>
      <c r="D895" s="40" t="s">
        <v>228</v>
      </c>
      <c r="E895" s="40"/>
      <c r="F895" s="2"/>
      <c r="G895" s="10">
        <f t="shared" ref="G895:H896" si="519">G896</f>
        <v>0</v>
      </c>
      <c r="H895" s="313">
        <f t="shared" si="519"/>
        <v>0</v>
      </c>
      <c r="I895" s="337" t="e">
        <f t="shared" si="495"/>
        <v>#DIV/0!</v>
      </c>
    </row>
    <row r="896" spans="1:9" ht="31.7" hidden="1" customHeight="1" x14ac:dyDescent="0.25">
      <c r="A896" s="31" t="s">
        <v>146</v>
      </c>
      <c r="B896" s="20" t="s">
        <v>1174</v>
      </c>
      <c r="C896" s="40" t="s">
        <v>249</v>
      </c>
      <c r="D896" s="40" t="s">
        <v>228</v>
      </c>
      <c r="E896" s="40" t="s">
        <v>147</v>
      </c>
      <c r="F896" s="2"/>
      <c r="G896" s="10">
        <f t="shared" si="519"/>
        <v>0</v>
      </c>
      <c r="H896" s="313">
        <f t="shared" si="519"/>
        <v>0</v>
      </c>
      <c r="I896" s="337" t="e">
        <f t="shared" si="495"/>
        <v>#DIV/0!</v>
      </c>
    </row>
    <row r="897" spans="1:9" ht="31.7" hidden="1" customHeight="1" x14ac:dyDescent="0.25">
      <c r="A897" s="31" t="s">
        <v>148</v>
      </c>
      <c r="B897" s="20" t="s">
        <v>1174</v>
      </c>
      <c r="C897" s="40" t="s">
        <v>249</v>
      </c>
      <c r="D897" s="40" t="s">
        <v>228</v>
      </c>
      <c r="E897" s="40" t="s">
        <v>149</v>
      </c>
      <c r="F897" s="2"/>
      <c r="G897" s="10">
        <f>'Пр.3 Рд,пр, ЦС,ВР 20'!F425</f>
        <v>0</v>
      </c>
      <c r="H897" s="313">
        <f>'Пр.3 Рд,пр, ЦС,ВР 20'!G425</f>
        <v>0</v>
      </c>
      <c r="I897" s="337" t="e">
        <f t="shared" si="495"/>
        <v>#DIV/0!</v>
      </c>
    </row>
    <row r="898" spans="1:9" s="210" customFormat="1" ht="31.7" hidden="1" customHeight="1" x14ac:dyDescent="0.25">
      <c r="A898" s="45" t="s">
        <v>638</v>
      </c>
      <c r="B898" s="20" t="s">
        <v>1174</v>
      </c>
      <c r="C898" s="40" t="s">
        <v>249</v>
      </c>
      <c r="D898" s="40" t="s">
        <v>228</v>
      </c>
      <c r="E898" s="40" t="s">
        <v>149</v>
      </c>
      <c r="F898" s="2">
        <v>908</v>
      </c>
      <c r="G898" s="6">
        <f>G897</f>
        <v>0</v>
      </c>
      <c r="H898" s="337">
        <f t="shared" ref="H898" si="520">H897</f>
        <v>0</v>
      </c>
      <c r="I898" s="337" t="e">
        <f t="shared" si="495"/>
        <v>#DIV/0!</v>
      </c>
    </row>
    <row r="899" spans="1:9" s="210" customFormat="1" ht="31.7" hidden="1" customHeight="1" x14ac:dyDescent="0.25">
      <c r="A899" s="225" t="s">
        <v>1172</v>
      </c>
      <c r="B899" s="24" t="s">
        <v>1173</v>
      </c>
      <c r="C899" s="40"/>
      <c r="D899" s="40"/>
      <c r="E899" s="40"/>
      <c r="F899" s="2"/>
      <c r="G899" s="59">
        <f>G900</f>
        <v>0</v>
      </c>
      <c r="H899" s="325">
        <f t="shared" ref="H899" si="521">H900</f>
        <v>0</v>
      </c>
      <c r="I899" s="337" t="e">
        <f t="shared" si="495"/>
        <v>#DIV/0!</v>
      </c>
    </row>
    <row r="900" spans="1:9" s="210" customFormat="1" ht="16.5" hidden="1" customHeight="1" x14ac:dyDescent="0.25">
      <c r="A900" s="29" t="s">
        <v>405</v>
      </c>
      <c r="B900" s="40" t="s">
        <v>533</v>
      </c>
      <c r="C900" s="40" t="s">
        <v>249</v>
      </c>
      <c r="D900" s="40"/>
      <c r="E900" s="73"/>
      <c r="F900" s="2"/>
      <c r="G900" s="10">
        <f t="shared" ref="G900:H901" si="522">G901</f>
        <v>0</v>
      </c>
      <c r="H900" s="313">
        <f t="shared" si="522"/>
        <v>0</v>
      </c>
      <c r="I900" s="337" t="e">
        <f t="shared" si="495"/>
        <v>#DIV/0!</v>
      </c>
    </row>
    <row r="901" spans="1:9" s="210" customFormat="1" ht="19.5" hidden="1" customHeight="1" x14ac:dyDescent="0.25">
      <c r="A901" s="29" t="s">
        <v>532</v>
      </c>
      <c r="B901" s="40" t="s">
        <v>533</v>
      </c>
      <c r="C901" s="40" t="s">
        <v>249</v>
      </c>
      <c r="D901" s="40" t="s">
        <v>228</v>
      </c>
      <c r="E901" s="73"/>
      <c r="F901" s="2"/>
      <c r="G901" s="10">
        <f>G902</f>
        <v>0</v>
      </c>
      <c r="H901" s="313">
        <f t="shared" si="522"/>
        <v>0</v>
      </c>
      <c r="I901" s="337" t="e">
        <f t="shared" si="495"/>
        <v>#DIV/0!</v>
      </c>
    </row>
    <row r="902" spans="1:9" ht="31.7" hidden="1" customHeight="1" x14ac:dyDescent="0.25">
      <c r="A902" s="178" t="s">
        <v>546</v>
      </c>
      <c r="B902" s="20" t="s">
        <v>1175</v>
      </c>
      <c r="C902" s="40" t="s">
        <v>249</v>
      </c>
      <c r="D902" s="40" t="s">
        <v>228</v>
      </c>
      <c r="E902" s="40"/>
      <c r="F902" s="2"/>
      <c r="G902" s="10">
        <f t="shared" ref="G902:H903" si="523">G903</f>
        <v>0</v>
      </c>
      <c r="H902" s="313">
        <f t="shared" si="523"/>
        <v>0</v>
      </c>
      <c r="I902" s="337" t="e">
        <f t="shared" si="495"/>
        <v>#DIV/0!</v>
      </c>
    </row>
    <row r="903" spans="1:9" ht="31.7" hidden="1" customHeight="1" x14ac:dyDescent="0.25">
      <c r="A903" s="31" t="s">
        <v>146</v>
      </c>
      <c r="B903" s="20" t="s">
        <v>1175</v>
      </c>
      <c r="C903" s="40" t="s">
        <v>249</v>
      </c>
      <c r="D903" s="40" t="s">
        <v>228</v>
      </c>
      <c r="E903" s="40" t="s">
        <v>147</v>
      </c>
      <c r="F903" s="2"/>
      <c r="G903" s="10">
        <f t="shared" si="523"/>
        <v>0</v>
      </c>
      <c r="H903" s="313">
        <f t="shared" si="523"/>
        <v>0</v>
      </c>
      <c r="I903" s="337" t="e">
        <f t="shared" si="495"/>
        <v>#DIV/0!</v>
      </c>
    </row>
    <row r="904" spans="1:9" ht="31.7" hidden="1" customHeight="1" x14ac:dyDescent="0.25">
      <c r="A904" s="31" t="s">
        <v>148</v>
      </c>
      <c r="B904" s="20" t="s">
        <v>1175</v>
      </c>
      <c r="C904" s="40" t="s">
        <v>249</v>
      </c>
      <c r="D904" s="40" t="s">
        <v>228</v>
      </c>
      <c r="E904" s="40" t="s">
        <v>149</v>
      </c>
      <c r="F904" s="2"/>
      <c r="G904" s="10">
        <f>'Пр.3 Рд,пр, ЦС,ВР 20'!F429</f>
        <v>0</v>
      </c>
      <c r="H904" s="313">
        <f>'Пр.3 Рд,пр, ЦС,ВР 20'!G429</f>
        <v>0</v>
      </c>
      <c r="I904" s="337" t="e">
        <f t="shared" si="495"/>
        <v>#DIV/0!</v>
      </c>
    </row>
    <row r="905" spans="1:9" s="210" customFormat="1" ht="31.7" hidden="1" customHeight="1" x14ac:dyDescent="0.25">
      <c r="A905" s="45" t="s">
        <v>638</v>
      </c>
      <c r="B905" s="20" t="s">
        <v>1175</v>
      </c>
      <c r="C905" s="40" t="s">
        <v>249</v>
      </c>
      <c r="D905" s="40" t="s">
        <v>228</v>
      </c>
      <c r="E905" s="40" t="s">
        <v>149</v>
      </c>
      <c r="F905" s="2">
        <v>908</v>
      </c>
      <c r="G905" s="6">
        <f>G904</f>
        <v>0</v>
      </c>
      <c r="H905" s="337">
        <f t="shared" ref="H905" si="524">H904</f>
        <v>0</v>
      </c>
      <c r="I905" s="337" t="e">
        <f t="shared" si="495"/>
        <v>#DIV/0!</v>
      </c>
    </row>
    <row r="906" spans="1:9" s="210" customFormat="1" ht="31.7" hidden="1" customHeight="1" x14ac:dyDescent="0.25">
      <c r="A906" s="225" t="s">
        <v>1111</v>
      </c>
      <c r="B906" s="24" t="s">
        <v>1112</v>
      </c>
      <c r="C906" s="40"/>
      <c r="D906" s="40"/>
      <c r="E906" s="40"/>
      <c r="F906" s="2"/>
      <c r="G906" s="59">
        <f>G907</f>
        <v>0</v>
      </c>
      <c r="H906" s="325">
        <f t="shared" ref="H906:H908" si="525">H907</f>
        <v>0</v>
      </c>
      <c r="I906" s="337" t="e">
        <f t="shared" si="495"/>
        <v>#DIV/0!</v>
      </c>
    </row>
    <row r="907" spans="1:9" s="210" customFormat="1" ht="17.45" hidden="1" customHeight="1" x14ac:dyDescent="0.25">
      <c r="A907" s="29" t="s">
        <v>405</v>
      </c>
      <c r="B907" s="40" t="s">
        <v>533</v>
      </c>
      <c r="C907" s="40" t="s">
        <v>249</v>
      </c>
      <c r="D907" s="40"/>
      <c r="E907" s="73"/>
      <c r="F907" s="2"/>
      <c r="G907" s="10">
        <f>G908</f>
        <v>0</v>
      </c>
      <c r="H907" s="313">
        <f t="shared" si="525"/>
        <v>0</v>
      </c>
      <c r="I907" s="337" t="e">
        <f t="shared" si="495"/>
        <v>#DIV/0!</v>
      </c>
    </row>
    <row r="908" spans="1:9" s="210" customFormat="1" ht="20.25" hidden="1" customHeight="1" x14ac:dyDescent="0.25">
      <c r="A908" s="29" t="s">
        <v>532</v>
      </c>
      <c r="B908" s="40" t="s">
        <v>533</v>
      </c>
      <c r="C908" s="40" t="s">
        <v>249</v>
      </c>
      <c r="D908" s="40" t="s">
        <v>228</v>
      </c>
      <c r="E908" s="73"/>
      <c r="F908" s="2"/>
      <c r="G908" s="10">
        <f>G909</f>
        <v>0</v>
      </c>
      <c r="H908" s="313">
        <f t="shared" si="525"/>
        <v>0</v>
      </c>
      <c r="I908" s="337" t="e">
        <f t="shared" si="495"/>
        <v>#DIV/0!</v>
      </c>
    </row>
    <row r="909" spans="1:9" ht="15.75" hidden="1" x14ac:dyDescent="0.25">
      <c r="A909" s="178" t="s">
        <v>548</v>
      </c>
      <c r="B909" s="20" t="s">
        <v>1110</v>
      </c>
      <c r="C909" s="40" t="s">
        <v>249</v>
      </c>
      <c r="D909" s="40" t="s">
        <v>228</v>
      </c>
      <c r="E909" s="40"/>
      <c r="F909" s="2"/>
      <c r="G909" s="10">
        <f t="shared" ref="G909:H910" si="526">G910</f>
        <v>0</v>
      </c>
      <c r="H909" s="313">
        <f t="shared" si="526"/>
        <v>0</v>
      </c>
      <c r="I909" s="337" t="e">
        <f t="shared" si="495"/>
        <v>#DIV/0!</v>
      </c>
    </row>
    <row r="910" spans="1:9" ht="31.5" hidden="1" x14ac:dyDescent="0.3">
      <c r="A910" s="25" t="s">
        <v>146</v>
      </c>
      <c r="B910" s="20" t="s">
        <v>1110</v>
      </c>
      <c r="C910" s="40" t="s">
        <v>249</v>
      </c>
      <c r="D910" s="40" t="s">
        <v>228</v>
      </c>
      <c r="E910" s="2">
        <v>200</v>
      </c>
      <c r="F910" s="77"/>
      <c r="G910" s="6">
        <f t="shared" si="526"/>
        <v>0</v>
      </c>
      <c r="H910" s="337">
        <f t="shared" si="526"/>
        <v>0</v>
      </c>
      <c r="I910" s="337" t="e">
        <f t="shared" si="495"/>
        <v>#DIV/0!</v>
      </c>
    </row>
    <row r="911" spans="1:9" ht="31.5" hidden="1" x14ac:dyDescent="0.3">
      <c r="A911" s="25" t="s">
        <v>148</v>
      </c>
      <c r="B911" s="20" t="s">
        <v>1110</v>
      </c>
      <c r="C911" s="40" t="s">
        <v>249</v>
      </c>
      <c r="D911" s="40" t="s">
        <v>228</v>
      </c>
      <c r="E911" s="2">
        <v>240</v>
      </c>
      <c r="F911" s="77"/>
      <c r="G911" s="6">
        <f>'Пр.3 Рд,пр, ЦС,ВР 20'!F433</f>
        <v>0</v>
      </c>
      <c r="H911" s="337">
        <f>'Пр.3 Рд,пр, ЦС,ВР 20'!G433</f>
        <v>0</v>
      </c>
      <c r="I911" s="337" t="e">
        <f t="shared" si="495"/>
        <v>#DIV/0!</v>
      </c>
    </row>
    <row r="912" spans="1:9" ht="31.5" hidden="1" x14ac:dyDescent="0.25">
      <c r="A912" s="45" t="s">
        <v>638</v>
      </c>
      <c r="B912" s="20" t="s">
        <v>1110</v>
      </c>
      <c r="C912" s="40" t="s">
        <v>249</v>
      </c>
      <c r="D912" s="40" t="s">
        <v>228</v>
      </c>
      <c r="E912" s="2">
        <v>240</v>
      </c>
      <c r="F912" s="2">
        <v>908</v>
      </c>
      <c r="G912" s="6">
        <f>G911</f>
        <v>0</v>
      </c>
      <c r="H912" s="337">
        <f t="shared" ref="H912" si="527">H911</f>
        <v>0</v>
      </c>
      <c r="I912" s="337" t="e">
        <f t="shared" si="495"/>
        <v>#DIV/0!</v>
      </c>
    </row>
    <row r="913" spans="1:9" ht="47.25" x14ac:dyDescent="0.25">
      <c r="A913" s="23" t="s">
        <v>349</v>
      </c>
      <c r="B913" s="24" t="s">
        <v>350</v>
      </c>
      <c r="C913" s="7"/>
      <c r="D913" s="7"/>
      <c r="E913" s="3"/>
      <c r="F913" s="3"/>
      <c r="G913" s="4">
        <f>G914</f>
        <v>136.19999999999999</v>
      </c>
      <c r="H913" s="4">
        <f t="shared" ref="H913:H915" si="528">H914</f>
        <v>86.2</v>
      </c>
      <c r="I913" s="4">
        <f t="shared" ref="I913:I976" si="529">H913/G913*100</f>
        <v>63.289280469897214</v>
      </c>
    </row>
    <row r="914" spans="1:9" s="210" customFormat="1" ht="31.5" x14ac:dyDescent="0.25">
      <c r="A914" s="23" t="s">
        <v>1223</v>
      </c>
      <c r="B914" s="24" t="s">
        <v>1224</v>
      </c>
      <c r="C914" s="7"/>
      <c r="D914" s="7"/>
      <c r="E914" s="3"/>
      <c r="F914" s="3"/>
      <c r="G914" s="4">
        <f>G915</f>
        <v>136.19999999999999</v>
      </c>
      <c r="H914" s="4">
        <f t="shared" si="528"/>
        <v>86.2</v>
      </c>
      <c r="I914" s="4">
        <f t="shared" si="529"/>
        <v>63.289280469897214</v>
      </c>
    </row>
    <row r="915" spans="1:9" ht="15.75" x14ac:dyDescent="0.25">
      <c r="A915" s="29" t="s">
        <v>132</v>
      </c>
      <c r="B915" s="20" t="s">
        <v>1224</v>
      </c>
      <c r="C915" s="40" t="s">
        <v>133</v>
      </c>
      <c r="D915" s="40"/>
      <c r="E915" s="2"/>
      <c r="F915" s="2"/>
      <c r="G915" s="6">
        <f>G916</f>
        <v>136.19999999999999</v>
      </c>
      <c r="H915" s="337">
        <f t="shared" si="528"/>
        <v>86.2</v>
      </c>
      <c r="I915" s="337">
        <f t="shared" si="529"/>
        <v>63.289280469897214</v>
      </c>
    </row>
    <row r="916" spans="1:9" ht="15.75" x14ac:dyDescent="0.25">
      <c r="A916" s="29" t="s">
        <v>154</v>
      </c>
      <c r="B916" s="20" t="s">
        <v>1224</v>
      </c>
      <c r="C916" s="40" t="s">
        <v>133</v>
      </c>
      <c r="D916" s="40" t="s">
        <v>155</v>
      </c>
      <c r="E916" s="2"/>
      <c r="F916" s="2"/>
      <c r="G916" s="6">
        <f>G917+G924+G928+G932+G936+G940+G944</f>
        <v>136.19999999999999</v>
      </c>
      <c r="H916" s="337">
        <f t="shared" ref="H916" si="530">H917+H924+H928+H932+H936+H940+H944</f>
        <v>86.2</v>
      </c>
      <c r="I916" s="337">
        <f t="shared" si="529"/>
        <v>63.289280469897214</v>
      </c>
    </row>
    <row r="917" spans="1:9" ht="31.5" x14ac:dyDescent="0.25">
      <c r="A917" s="25" t="s">
        <v>351</v>
      </c>
      <c r="B917" s="20" t="s">
        <v>1225</v>
      </c>
      <c r="C917" s="40" t="s">
        <v>133</v>
      </c>
      <c r="D917" s="40" t="s">
        <v>155</v>
      </c>
      <c r="E917" s="2"/>
      <c r="F917" s="2"/>
      <c r="G917" s="6">
        <f>G918+G921</f>
        <v>120</v>
      </c>
      <c r="H917" s="337">
        <f t="shared" ref="H917" si="531">H918+H921</f>
        <v>70</v>
      </c>
      <c r="I917" s="337">
        <f t="shared" si="529"/>
        <v>58.333333333333336</v>
      </c>
    </row>
    <row r="918" spans="1:9" ht="31.5" x14ac:dyDescent="0.25">
      <c r="A918" s="25" t="s">
        <v>146</v>
      </c>
      <c r="B918" s="20" t="s">
        <v>1225</v>
      </c>
      <c r="C918" s="40" t="s">
        <v>133</v>
      </c>
      <c r="D918" s="40" t="s">
        <v>155</v>
      </c>
      <c r="E918" s="2">
        <v>200</v>
      </c>
      <c r="F918" s="2"/>
      <c r="G918" s="6">
        <f t="shared" ref="G918:H918" si="532">G919</f>
        <v>50</v>
      </c>
      <c r="H918" s="337">
        <f t="shared" si="532"/>
        <v>0</v>
      </c>
      <c r="I918" s="337">
        <f t="shared" si="529"/>
        <v>0</v>
      </c>
    </row>
    <row r="919" spans="1:9" ht="31.5" x14ac:dyDescent="0.25">
      <c r="A919" s="25" t="s">
        <v>148</v>
      </c>
      <c r="B919" s="20" t="s">
        <v>1225</v>
      </c>
      <c r="C919" s="40" t="s">
        <v>133</v>
      </c>
      <c r="D919" s="40" t="s">
        <v>155</v>
      </c>
      <c r="E919" s="2">
        <v>240</v>
      </c>
      <c r="F919" s="2"/>
      <c r="G919" s="6">
        <f>'Пр.4 ведом.20'!G581</f>
        <v>50</v>
      </c>
      <c r="H919" s="337">
        <f>'Пр.4 ведом.20'!H581</f>
        <v>0</v>
      </c>
      <c r="I919" s="337">
        <f t="shared" si="529"/>
        <v>0</v>
      </c>
    </row>
    <row r="920" spans="1:9" s="210" customFormat="1" ht="31.5" x14ac:dyDescent="0.25">
      <c r="A920" s="45" t="s">
        <v>418</v>
      </c>
      <c r="B920" s="20" t="s">
        <v>1225</v>
      </c>
      <c r="C920" s="40" t="s">
        <v>133</v>
      </c>
      <c r="D920" s="40" t="s">
        <v>155</v>
      </c>
      <c r="E920" s="2">
        <v>240</v>
      </c>
      <c r="F920" s="2">
        <v>906</v>
      </c>
      <c r="G920" s="6">
        <f>G919</f>
        <v>50</v>
      </c>
      <c r="H920" s="337">
        <f t="shared" ref="H920" si="533">H919</f>
        <v>0</v>
      </c>
      <c r="I920" s="337">
        <f t="shared" si="529"/>
        <v>0</v>
      </c>
    </row>
    <row r="921" spans="1:9" s="210" customFormat="1" ht="31.5" x14ac:dyDescent="0.25">
      <c r="A921" s="25" t="s">
        <v>146</v>
      </c>
      <c r="B921" s="20" t="s">
        <v>1225</v>
      </c>
      <c r="C921" s="40" t="s">
        <v>133</v>
      </c>
      <c r="D921" s="40" t="s">
        <v>155</v>
      </c>
      <c r="E921" s="2">
        <v>200</v>
      </c>
      <c r="F921" s="2"/>
      <c r="G921" s="6">
        <f t="shared" ref="G921:H921" si="534">G922</f>
        <v>70</v>
      </c>
      <c r="H921" s="337">
        <f t="shared" si="534"/>
        <v>70</v>
      </c>
      <c r="I921" s="337">
        <f t="shared" si="529"/>
        <v>100</v>
      </c>
    </row>
    <row r="922" spans="1:9" s="210" customFormat="1" ht="31.5" x14ac:dyDescent="0.25">
      <c r="A922" s="25" t="s">
        <v>148</v>
      </c>
      <c r="B922" s="20" t="s">
        <v>1225</v>
      </c>
      <c r="C922" s="40" t="s">
        <v>133</v>
      </c>
      <c r="D922" s="40" t="s">
        <v>155</v>
      </c>
      <c r="E922" s="2">
        <v>240</v>
      </c>
      <c r="F922" s="2"/>
      <c r="G922" s="6">
        <f>'Пр.4 ведом.20'!G856</f>
        <v>70</v>
      </c>
      <c r="H922" s="337">
        <f>'Пр.4 ведом.20'!H856</f>
        <v>70</v>
      </c>
      <c r="I922" s="337">
        <f t="shared" si="529"/>
        <v>100</v>
      </c>
    </row>
    <row r="923" spans="1:9" s="210" customFormat="1" ht="31.5" x14ac:dyDescent="0.25">
      <c r="A923" s="45" t="s">
        <v>495</v>
      </c>
      <c r="B923" s="20" t="s">
        <v>1225</v>
      </c>
      <c r="C923" s="40" t="s">
        <v>133</v>
      </c>
      <c r="D923" s="40" t="s">
        <v>155</v>
      </c>
      <c r="E923" s="2">
        <v>240</v>
      </c>
      <c r="F923" s="2">
        <v>907</v>
      </c>
      <c r="G923" s="6">
        <f>G922</f>
        <v>70</v>
      </c>
      <c r="H923" s="337">
        <f t="shared" ref="H923" si="535">H922</f>
        <v>70</v>
      </c>
      <c r="I923" s="337">
        <f t="shared" si="529"/>
        <v>100</v>
      </c>
    </row>
    <row r="924" spans="1:9" s="210" customFormat="1" ht="31.5" hidden="1" x14ac:dyDescent="0.25">
      <c r="A924" s="25" t="s">
        <v>351</v>
      </c>
      <c r="B924" s="20" t="s">
        <v>1230</v>
      </c>
      <c r="C924" s="40" t="s">
        <v>133</v>
      </c>
      <c r="D924" s="40" t="s">
        <v>155</v>
      </c>
      <c r="E924" s="2"/>
      <c r="F924" s="2"/>
      <c r="G924" s="6">
        <f>G925</f>
        <v>0</v>
      </c>
      <c r="H924" s="337">
        <f t="shared" ref="H924" si="536">H925</f>
        <v>0</v>
      </c>
      <c r="I924" s="337" t="e">
        <f t="shared" si="529"/>
        <v>#DIV/0!</v>
      </c>
    </row>
    <row r="925" spans="1:9" s="210" customFormat="1" ht="31.5" hidden="1" x14ac:dyDescent="0.25">
      <c r="A925" s="25" t="s">
        <v>146</v>
      </c>
      <c r="B925" s="20" t="s">
        <v>1230</v>
      </c>
      <c r="C925" s="40" t="s">
        <v>133</v>
      </c>
      <c r="D925" s="40" t="s">
        <v>155</v>
      </c>
      <c r="E925" s="2">
        <v>200</v>
      </c>
      <c r="F925" s="2"/>
      <c r="G925" s="6">
        <f t="shared" ref="G925:H925" si="537">G926</f>
        <v>0</v>
      </c>
      <c r="H925" s="337">
        <f t="shared" si="537"/>
        <v>0</v>
      </c>
      <c r="I925" s="337" t="e">
        <f t="shared" si="529"/>
        <v>#DIV/0!</v>
      </c>
    </row>
    <row r="926" spans="1:9" s="210" customFormat="1" ht="31.5" hidden="1" x14ac:dyDescent="0.25">
      <c r="A926" s="25" t="s">
        <v>148</v>
      </c>
      <c r="B926" s="20" t="s">
        <v>1230</v>
      </c>
      <c r="C926" s="40" t="s">
        <v>133</v>
      </c>
      <c r="D926" s="40" t="s">
        <v>155</v>
      </c>
      <c r="E926" s="2">
        <v>240</v>
      </c>
      <c r="F926" s="2"/>
      <c r="G926" s="6">
        <f>'Пр.3 Рд,пр, ЦС,ВР 20'!F203</f>
        <v>0</v>
      </c>
      <c r="H926" s="337">
        <f>'Пр.3 Рд,пр, ЦС,ВР 20'!G203</f>
        <v>0</v>
      </c>
      <c r="I926" s="337" t="e">
        <f t="shared" si="529"/>
        <v>#DIV/0!</v>
      </c>
    </row>
    <row r="927" spans="1:9" s="210" customFormat="1" ht="31.5" hidden="1" x14ac:dyDescent="0.25">
      <c r="A927" s="45" t="s">
        <v>418</v>
      </c>
      <c r="B927" s="20" t="s">
        <v>1230</v>
      </c>
      <c r="C927" s="40" t="s">
        <v>133</v>
      </c>
      <c r="D927" s="40" t="s">
        <v>155</v>
      </c>
      <c r="E927" s="2">
        <v>240</v>
      </c>
      <c r="F927" s="2">
        <v>906</v>
      </c>
      <c r="G927" s="6">
        <f>G926</f>
        <v>0</v>
      </c>
      <c r="H927" s="337">
        <f t="shared" ref="H927" si="538">H926</f>
        <v>0</v>
      </c>
      <c r="I927" s="337" t="e">
        <f t="shared" si="529"/>
        <v>#DIV/0!</v>
      </c>
    </row>
    <row r="928" spans="1:9" ht="23.25" customHeight="1" x14ac:dyDescent="0.25">
      <c r="A928" s="25" t="s">
        <v>353</v>
      </c>
      <c r="B928" s="20" t="s">
        <v>1226</v>
      </c>
      <c r="C928" s="40" t="s">
        <v>133</v>
      </c>
      <c r="D928" s="40" t="s">
        <v>155</v>
      </c>
      <c r="E928" s="2"/>
      <c r="F928" s="2"/>
      <c r="G928" s="6">
        <f t="shared" ref="G928:H929" si="539">G929</f>
        <v>16.2</v>
      </c>
      <c r="H928" s="337">
        <f t="shared" si="539"/>
        <v>16.2</v>
      </c>
      <c r="I928" s="337">
        <f t="shared" si="529"/>
        <v>100</v>
      </c>
    </row>
    <row r="929" spans="1:9" ht="31.5" x14ac:dyDescent="0.25">
      <c r="A929" s="25" t="s">
        <v>146</v>
      </c>
      <c r="B929" s="20" t="s">
        <v>1226</v>
      </c>
      <c r="C929" s="40" t="s">
        <v>133</v>
      </c>
      <c r="D929" s="40" t="s">
        <v>155</v>
      </c>
      <c r="E929" s="2">
        <v>200</v>
      </c>
      <c r="F929" s="2"/>
      <c r="G929" s="6">
        <f t="shared" si="539"/>
        <v>16.2</v>
      </c>
      <c r="H929" s="337">
        <f t="shared" si="539"/>
        <v>16.2</v>
      </c>
      <c r="I929" s="337">
        <f t="shared" si="529"/>
        <v>100</v>
      </c>
    </row>
    <row r="930" spans="1:9" ht="31.5" x14ac:dyDescent="0.25">
      <c r="A930" s="25" t="s">
        <v>148</v>
      </c>
      <c r="B930" s="20" t="s">
        <v>1226</v>
      </c>
      <c r="C930" s="40" t="s">
        <v>133</v>
      </c>
      <c r="D930" s="40" t="s">
        <v>155</v>
      </c>
      <c r="E930" s="2">
        <v>240</v>
      </c>
      <c r="F930" s="2"/>
      <c r="G930" s="6">
        <f>'Пр.4 ведом.20'!G247</f>
        <v>16.2</v>
      </c>
      <c r="H930" s="337">
        <f>'Пр.4 ведом.20'!H247</f>
        <v>16.2</v>
      </c>
      <c r="I930" s="337">
        <f t="shared" si="529"/>
        <v>100</v>
      </c>
    </row>
    <row r="931" spans="1:9" s="210" customFormat="1" ht="47.25" x14ac:dyDescent="0.25">
      <c r="A931" s="45" t="s">
        <v>276</v>
      </c>
      <c r="B931" s="20" t="s">
        <v>1226</v>
      </c>
      <c r="C931" s="40" t="s">
        <v>133</v>
      </c>
      <c r="D931" s="40" t="s">
        <v>155</v>
      </c>
      <c r="E931" s="2">
        <v>240</v>
      </c>
      <c r="F931" s="2">
        <v>903</v>
      </c>
      <c r="G931" s="6">
        <f>G930</f>
        <v>16.2</v>
      </c>
      <c r="H931" s="337">
        <f t="shared" ref="H931" si="540">H930</f>
        <v>16.2</v>
      </c>
      <c r="I931" s="337">
        <f t="shared" si="529"/>
        <v>100</v>
      </c>
    </row>
    <row r="932" spans="1:9" ht="47.25" hidden="1" x14ac:dyDescent="0.25">
      <c r="A932" s="31" t="s">
        <v>792</v>
      </c>
      <c r="B932" s="20" t="s">
        <v>1227</v>
      </c>
      <c r="C932" s="40" t="s">
        <v>133</v>
      </c>
      <c r="D932" s="40" t="s">
        <v>155</v>
      </c>
      <c r="E932" s="2"/>
      <c r="F932" s="2"/>
      <c r="G932" s="6">
        <f t="shared" ref="G932:H933" si="541">G933</f>
        <v>0</v>
      </c>
      <c r="H932" s="337">
        <f t="shared" si="541"/>
        <v>0</v>
      </c>
      <c r="I932" s="337" t="e">
        <f t="shared" si="529"/>
        <v>#DIV/0!</v>
      </c>
    </row>
    <row r="933" spans="1:9" ht="31.5" hidden="1" x14ac:dyDescent="0.25">
      <c r="A933" s="25" t="s">
        <v>146</v>
      </c>
      <c r="B933" s="20" t="s">
        <v>1227</v>
      </c>
      <c r="C933" s="20" t="s">
        <v>133</v>
      </c>
      <c r="D933" s="20" t="s">
        <v>155</v>
      </c>
      <c r="E933" s="20" t="s">
        <v>147</v>
      </c>
      <c r="F933" s="182"/>
      <c r="G933" s="6">
        <f t="shared" si="541"/>
        <v>0</v>
      </c>
      <c r="H933" s="337">
        <f t="shared" si="541"/>
        <v>0</v>
      </c>
      <c r="I933" s="337" t="e">
        <f t="shared" si="529"/>
        <v>#DIV/0!</v>
      </c>
    </row>
    <row r="934" spans="1:9" ht="31.5" hidden="1" x14ac:dyDescent="0.25">
      <c r="A934" s="25" t="s">
        <v>148</v>
      </c>
      <c r="B934" s="20" t="s">
        <v>1227</v>
      </c>
      <c r="C934" s="20" t="s">
        <v>133</v>
      </c>
      <c r="D934" s="20" t="s">
        <v>155</v>
      </c>
      <c r="E934" s="20" t="s">
        <v>149</v>
      </c>
      <c r="F934" s="182"/>
      <c r="G934" s="6">
        <f>'Пр.4 ведом.20'!G250</f>
        <v>0</v>
      </c>
      <c r="H934" s="337">
        <f>'Пр.4 ведом.20'!H250</f>
        <v>0</v>
      </c>
      <c r="I934" s="337" t="e">
        <f t="shared" si="529"/>
        <v>#DIV/0!</v>
      </c>
    </row>
    <row r="935" spans="1:9" s="210" customFormat="1" ht="47.25" hidden="1" x14ac:dyDescent="0.25">
      <c r="A935" s="45" t="s">
        <v>276</v>
      </c>
      <c r="B935" s="20" t="s">
        <v>1227</v>
      </c>
      <c r="C935" s="40" t="s">
        <v>133</v>
      </c>
      <c r="D935" s="40" t="s">
        <v>155</v>
      </c>
      <c r="E935" s="2">
        <v>240</v>
      </c>
      <c r="F935" s="2">
        <v>903</v>
      </c>
      <c r="G935" s="6">
        <f>G934</f>
        <v>0</v>
      </c>
      <c r="H935" s="337">
        <f t="shared" ref="H935" si="542">H934</f>
        <v>0</v>
      </c>
      <c r="I935" s="337" t="e">
        <f t="shared" si="529"/>
        <v>#DIV/0!</v>
      </c>
    </row>
    <row r="936" spans="1:9" ht="31.5" hidden="1" x14ac:dyDescent="0.25">
      <c r="A936" s="25" t="s">
        <v>694</v>
      </c>
      <c r="B936" s="20" t="s">
        <v>1228</v>
      </c>
      <c r="C936" s="40" t="s">
        <v>133</v>
      </c>
      <c r="D936" s="40" t="s">
        <v>155</v>
      </c>
      <c r="E936" s="2"/>
      <c r="F936" s="182"/>
      <c r="G936" s="6">
        <f t="shared" ref="G936:H937" si="543">G937</f>
        <v>0</v>
      </c>
      <c r="H936" s="337">
        <f t="shared" si="543"/>
        <v>0</v>
      </c>
      <c r="I936" s="337" t="e">
        <f t="shared" si="529"/>
        <v>#DIV/0!</v>
      </c>
    </row>
    <row r="937" spans="1:9" ht="31.5" hidden="1" x14ac:dyDescent="0.25">
      <c r="A937" s="25" t="s">
        <v>146</v>
      </c>
      <c r="B937" s="20" t="s">
        <v>1228</v>
      </c>
      <c r="C937" s="40" t="s">
        <v>133</v>
      </c>
      <c r="D937" s="40" t="s">
        <v>155</v>
      </c>
      <c r="E937" s="2">
        <v>200</v>
      </c>
      <c r="F937" s="182"/>
      <c r="G937" s="6">
        <f t="shared" si="543"/>
        <v>0</v>
      </c>
      <c r="H937" s="337">
        <f t="shared" si="543"/>
        <v>0</v>
      </c>
      <c r="I937" s="337" t="e">
        <f t="shared" si="529"/>
        <v>#DIV/0!</v>
      </c>
    </row>
    <row r="938" spans="1:9" ht="31.5" hidden="1" x14ac:dyDescent="0.25">
      <c r="A938" s="25" t="s">
        <v>148</v>
      </c>
      <c r="B938" s="20" t="s">
        <v>1228</v>
      </c>
      <c r="C938" s="40" t="s">
        <v>133</v>
      </c>
      <c r="D938" s="40" t="s">
        <v>155</v>
      </c>
      <c r="E938" s="2">
        <v>240</v>
      </c>
      <c r="F938" s="182"/>
      <c r="G938" s="6">
        <f>'Пр.4 ведом.20'!G253</f>
        <v>0</v>
      </c>
      <c r="H938" s="337">
        <f>'Пр.4 ведом.20'!H253</f>
        <v>0</v>
      </c>
      <c r="I938" s="337" t="e">
        <f t="shared" si="529"/>
        <v>#DIV/0!</v>
      </c>
    </row>
    <row r="939" spans="1:9" s="210" customFormat="1" ht="47.25" hidden="1" x14ac:dyDescent="0.25">
      <c r="A939" s="45" t="s">
        <v>276</v>
      </c>
      <c r="B939" s="20" t="s">
        <v>1228</v>
      </c>
      <c r="C939" s="40" t="s">
        <v>133</v>
      </c>
      <c r="D939" s="40" t="s">
        <v>155</v>
      </c>
      <c r="E939" s="2">
        <v>240</v>
      </c>
      <c r="F939" s="2">
        <v>903</v>
      </c>
      <c r="G939" s="6">
        <f>G938</f>
        <v>0</v>
      </c>
      <c r="H939" s="337">
        <f t="shared" ref="H939" si="544">H938</f>
        <v>0</v>
      </c>
      <c r="I939" s="337" t="e">
        <f t="shared" si="529"/>
        <v>#DIV/0!</v>
      </c>
    </row>
    <row r="940" spans="1:9" s="210" customFormat="1" ht="15.75" hidden="1" x14ac:dyDescent="0.25">
      <c r="A940" s="31" t="s">
        <v>794</v>
      </c>
      <c r="B940" s="20" t="s">
        <v>1258</v>
      </c>
      <c r="C940" s="40" t="s">
        <v>133</v>
      </c>
      <c r="D940" s="40" t="s">
        <v>155</v>
      </c>
      <c r="E940" s="2"/>
      <c r="F940" s="2"/>
      <c r="G940" s="6">
        <f t="shared" ref="G940:H941" si="545">G941</f>
        <v>0</v>
      </c>
      <c r="H940" s="337">
        <f t="shared" si="545"/>
        <v>0</v>
      </c>
      <c r="I940" s="337" t="e">
        <f t="shared" si="529"/>
        <v>#DIV/0!</v>
      </c>
    </row>
    <row r="941" spans="1:9" s="210" customFormat="1" ht="31.5" hidden="1" x14ac:dyDescent="0.25">
      <c r="A941" s="25" t="s">
        <v>146</v>
      </c>
      <c r="B941" s="20" t="s">
        <v>1258</v>
      </c>
      <c r="C941" s="40" t="s">
        <v>133</v>
      </c>
      <c r="D941" s="40" t="s">
        <v>155</v>
      </c>
      <c r="E941" s="2">
        <v>200</v>
      </c>
      <c r="F941" s="2"/>
      <c r="G941" s="6">
        <f t="shared" si="545"/>
        <v>0</v>
      </c>
      <c r="H941" s="337">
        <f t="shared" si="545"/>
        <v>0</v>
      </c>
      <c r="I941" s="337" t="e">
        <f t="shared" si="529"/>
        <v>#DIV/0!</v>
      </c>
    </row>
    <row r="942" spans="1:9" s="210" customFormat="1" ht="31.5" hidden="1" x14ac:dyDescent="0.25">
      <c r="A942" s="25" t="s">
        <v>148</v>
      </c>
      <c r="B942" s="20" t="s">
        <v>1258</v>
      </c>
      <c r="C942" s="40" t="s">
        <v>133</v>
      </c>
      <c r="D942" s="40" t="s">
        <v>155</v>
      </c>
      <c r="E942" s="2">
        <v>240</v>
      </c>
      <c r="F942" s="2"/>
      <c r="G942" s="6">
        <f>'Пр.3 Рд,пр, ЦС,ВР 20'!F215</f>
        <v>0</v>
      </c>
      <c r="H942" s="337">
        <f>'Пр.3 Рд,пр, ЦС,ВР 20'!G215</f>
        <v>0</v>
      </c>
      <c r="I942" s="337" t="e">
        <f t="shared" si="529"/>
        <v>#DIV/0!</v>
      </c>
    </row>
    <row r="943" spans="1:9" s="210" customFormat="1" ht="31.5" hidden="1" x14ac:dyDescent="0.25">
      <c r="A943" s="45" t="s">
        <v>418</v>
      </c>
      <c r="B943" s="20" t="s">
        <v>1258</v>
      </c>
      <c r="C943" s="40" t="s">
        <v>133</v>
      </c>
      <c r="D943" s="40" t="s">
        <v>155</v>
      </c>
      <c r="E943" s="2">
        <v>240</v>
      </c>
      <c r="F943" s="2">
        <v>906</v>
      </c>
      <c r="G943" s="6">
        <f>G942</f>
        <v>0</v>
      </c>
      <c r="H943" s="337">
        <f t="shared" ref="H943" si="546">H942</f>
        <v>0</v>
      </c>
      <c r="I943" s="337" t="e">
        <f t="shared" si="529"/>
        <v>#DIV/0!</v>
      </c>
    </row>
    <row r="944" spans="1:9" ht="31.7" hidden="1" customHeight="1" x14ac:dyDescent="0.25">
      <c r="A944" s="31" t="s">
        <v>793</v>
      </c>
      <c r="B944" s="20" t="s">
        <v>1229</v>
      </c>
      <c r="C944" s="20" t="s">
        <v>133</v>
      </c>
      <c r="D944" s="20" t="s">
        <v>155</v>
      </c>
      <c r="E944" s="20"/>
      <c r="F944" s="182"/>
      <c r="G944" s="6">
        <f t="shared" ref="G944:H945" si="547">G945</f>
        <v>0</v>
      </c>
      <c r="H944" s="337">
        <f t="shared" si="547"/>
        <v>0</v>
      </c>
      <c r="I944" s="337" t="e">
        <f t="shared" si="529"/>
        <v>#DIV/0!</v>
      </c>
    </row>
    <row r="945" spans="1:9" ht="31.7" hidden="1" customHeight="1" x14ac:dyDescent="0.25">
      <c r="A945" s="25" t="s">
        <v>146</v>
      </c>
      <c r="B945" s="20" t="s">
        <v>1229</v>
      </c>
      <c r="C945" s="20" t="s">
        <v>133</v>
      </c>
      <c r="D945" s="20" t="s">
        <v>155</v>
      </c>
      <c r="E945" s="20" t="s">
        <v>147</v>
      </c>
      <c r="F945" s="182"/>
      <c r="G945" s="6">
        <f t="shared" si="547"/>
        <v>0</v>
      </c>
      <c r="H945" s="337">
        <f t="shared" si="547"/>
        <v>0</v>
      </c>
      <c r="I945" s="337" t="e">
        <f t="shared" si="529"/>
        <v>#DIV/0!</v>
      </c>
    </row>
    <row r="946" spans="1:9" ht="31.7" hidden="1" customHeight="1" x14ac:dyDescent="0.25">
      <c r="A946" s="25" t="s">
        <v>148</v>
      </c>
      <c r="B946" s="20" t="s">
        <v>1229</v>
      </c>
      <c r="C946" s="20" t="s">
        <v>133</v>
      </c>
      <c r="D946" s="20" t="s">
        <v>155</v>
      </c>
      <c r="E946" s="20" t="s">
        <v>149</v>
      </c>
      <c r="F946" s="182"/>
      <c r="G946" s="6">
        <f>'Пр.4 ведом.20'!G256</f>
        <v>0</v>
      </c>
      <c r="H946" s="337">
        <f>'Пр.4 ведом.20'!H256</f>
        <v>0</v>
      </c>
      <c r="I946" s="337" t="e">
        <f t="shared" si="529"/>
        <v>#DIV/0!</v>
      </c>
    </row>
    <row r="947" spans="1:9" ht="47.25" hidden="1" x14ac:dyDescent="0.25">
      <c r="A947" s="45" t="s">
        <v>276</v>
      </c>
      <c r="B947" s="20" t="s">
        <v>1229</v>
      </c>
      <c r="C947" s="20" t="s">
        <v>133</v>
      </c>
      <c r="D947" s="20" t="s">
        <v>155</v>
      </c>
      <c r="E947" s="20" t="s">
        <v>149</v>
      </c>
      <c r="F947" s="2">
        <v>903</v>
      </c>
      <c r="G947" s="6">
        <f>G946</f>
        <v>0</v>
      </c>
      <c r="H947" s="337">
        <f t="shared" ref="H947" si="548">H946</f>
        <v>0</v>
      </c>
      <c r="I947" s="337" t="e">
        <f t="shared" si="529"/>
        <v>#DIV/0!</v>
      </c>
    </row>
    <row r="948" spans="1:9" ht="48.75" customHeight="1" x14ac:dyDescent="0.25">
      <c r="A948" s="41" t="s">
        <v>1177</v>
      </c>
      <c r="B948" s="24" t="s">
        <v>726</v>
      </c>
      <c r="C948" s="7"/>
      <c r="D948" s="7"/>
      <c r="E948" s="3"/>
      <c r="F948" s="3"/>
      <c r="G948" s="4">
        <f>G949+G960+G999</f>
        <v>3463.7669999999998</v>
      </c>
      <c r="H948" s="4">
        <f t="shared" ref="H948" si="549">H949+H960+H999</f>
        <v>3402.8629099999994</v>
      </c>
      <c r="I948" s="4">
        <f t="shared" si="529"/>
        <v>98.241680517194126</v>
      </c>
    </row>
    <row r="949" spans="1:9" s="210" customFormat="1" ht="48.75" customHeight="1" x14ac:dyDescent="0.25">
      <c r="A949" s="216" t="s">
        <v>890</v>
      </c>
      <c r="B949" s="24" t="s">
        <v>896</v>
      </c>
      <c r="C949" s="7"/>
      <c r="D949" s="7"/>
      <c r="E949" s="3"/>
      <c r="F949" s="3"/>
      <c r="G949" s="4">
        <f>G950</f>
        <v>33.4</v>
      </c>
      <c r="H949" s="4">
        <f t="shared" ref="H949" si="550">H950</f>
        <v>30.335999999999999</v>
      </c>
      <c r="I949" s="4">
        <f t="shared" si="529"/>
        <v>90.82634730538922</v>
      </c>
    </row>
    <row r="950" spans="1:9" s="122" customFormat="1" ht="15.75" x14ac:dyDescent="0.25">
      <c r="A950" s="29" t="s">
        <v>132</v>
      </c>
      <c r="B950" s="20" t="s">
        <v>896</v>
      </c>
      <c r="C950" s="40" t="s">
        <v>133</v>
      </c>
      <c r="D950" s="40"/>
      <c r="E950" s="2"/>
      <c r="F950" s="2"/>
      <c r="G950" s="6">
        <f t="shared" ref="G950:H950" si="551">G951</f>
        <v>33.4</v>
      </c>
      <c r="H950" s="337">
        <f t="shared" si="551"/>
        <v>30.335999999999999</v>
      </c>
      <c r="I950" s="337">
        <f t="shared" si="529"/>
        <v>90.82634730538922</v>
      </c>
    </row>
    <row r="951" spans="1:9" s="122" customFormat="1" ht="15.75" x14ac:dyDescent="0.25">
      <c r="A951" s="29" t="s">
        <v>154</v>
      </c>
      <c r="B951" s="20" t="s">
        <v>896</v>
      </c>
      <c r="C951" s="40" t="s">
        <v>133</v>
      </c>
      <c r="D951" s="40" t="s">
        <v>155</v>
      </c>
      <c r="E951" s="2"/>
      <c r="F951" s="2"/>
      <c r="G951" s="6">
        <f>G952+G956</f>
        <v>33.4</v>
      </c>
      <c r="H951" s="337">
        <f t="shared" ref="H951" si="552">H952+H956</f>
        <v>30.335999999999999</v>
      </c>
      <c r="I951" s="337">
        <f t="shared" si="529"/>
        <v>90.82634730538922</v>
      </c>
    </row>
    <row r="952" spans="1:9" ht="31.5" x14ac:dyDescent="0.25">
      <c r="A952" s="99" t="s">
        <v>797</v>
      </c>
      <c r="B952" s="20" t="s">
        <v>891</v>
      </c>
      <c r="C952" s="40" t="s">
        <v>133</v>
      </c>
      <c r="D952" s="40" t="s">
        <v>155</v>
      </c>
      <c r="E952" s="2"/>
      <c r="F952" s="2"/>
      <c r="G952" s="6">
        <f t="shared" ref="G952:H953" si="553">G953</f>
        <v>28</v>
      </c>
      <c r="H952" s="337">
        <f t="shared" si="553"/>
        <v>25</v>
      </c>
      <c r="I952" s="337">
        <f t="shared" si="529"/>
        <v>89.285714285714292</v>
      </c>
    </row>
    <row r="953" spans="1:9" ht="31.5" x14ac:dyDescent="0.25">
      <c r="A953" s="25" t="s">
        <v>146</v>
      </c>
      <c r="B953" s="20" t="s">
        <v>891</v>
      </c>
      <c r="C953" s="40" t="s">
        <v>133</v>
      </c>
      <c r="D953" s="40" t="s">
        <v>155</v>
      </c>
      <c r="E953" s="2">
        <v>200</v>
      </c>
      <c r="F953" s="2"/>
      <c r="G953" s="6">
        <f t="shared" si="553"/>
        <v>28</v>
      </c>
      <c r="H953" s="337">
        <f t="shared" si="553"/>
        <v>25</v>
      </c>
      <c r="I953" s="337">
        <f t="shared" si="529"/>
        <v>89.285714285714292</v>
      </c>
    </row>
    <row r="954" spans="1:9" ht="31.5" x14ac:dyDescent="0.25">
      <c r="A954" s="25" t="s">
        <v>148</v>
      </c>
      <c r="B954" s="20" t="s">
        <v>891</v>
      </c>
      <c r="C954" s="40" t="s">
        <v>133</v>
      </c>
      <c r="D954" s="40" t="s">
        <v>155</v>
      </c>
      <c r="E954" s="2">
        <v>240</v>
      </c>
      <c r="F954" s="2"/>
      <c r="G954" s="6">
        <f>'Пр.4 ведом.20'!G136</f>
        <v>28</v>
      </c>
      <c r="H954" s="337">
        <f>'Пр.4 ведом.20'!H136</f>
        <v>25</v>
      </c>
      <c r="I954" s="337">
        <f t="shared" si="529"/>
        <v>89.285714285714292</v>
      </c>
    </row>
    <row r="955" spans="1:9" s="210" customFormat="1" ht="15.75" x14ac:dyDescent="0.25">
      <c r="A955" s="29" t="s">
        <v>163</v>
      </c>
      <c r="B955" s="20" t="s">
        <v>891</v>
      </c>
      <c r="C955" s="40" t="s">
        <v>133</v>
      </c>
      <c r="D955" s="40" t="s">
        <v>155</v>
      </c>
      <c r="E955" s="2">
        <v>240</v>
      </c>
      <c r="F955" s="2">
        <v>902</v>
      </c>
      <c r="G955" s="6">
        <f>G954</f>
        <v>28</v>
      </c>
      <c r="H955" s="337">
        <f t="shared" ref="H955" si="554">H954</f>
        <v>25</v>
      </c>
      <c r="I955" s="337">
        <f t="shared" si="529"/>
        <v>89.285714285714292</v>
      </c>
    </row>
    <row r="956" spans="1:9" s="210" customFormat="1" ht="31.5" x14ac:dyDescent="0.25">
      <c r="A956" s="99" t="s">
        <v>797</v>
      </c>
      <c r="B956" s="20" t="s">
        <v>891</v>
      </c>
      <c r="C956" s="40" t="s">
        <v>133</v>
      </c>
      <c r="D956" s="40" t="s">
        <v>155</v>
      </c>
      <c r="E956" s="2"/>
      <c r="F956" s="2"/>
      <c r="G956" s="6">
        <f>G957</f>
        <v>5.4</v>
      </c>
      <c r="H956" s="337">
        <f t="shared" ref="H956:H957" si="555">H957</f>
        <v>5.3360000000000003</v>
      </c>
      <c r="I956" s="337">
        <f t="shared" si="529"/>
        <v>98.81481481481481</v>
      </c>
    </row>
    <row r="957" spans="1:9" s="210" customFormat="1" ht="31.5" x14ac:dyDescent="0.25">
      <c r="A957" s="25" t="s">
        <v>146</v>
      </c>
      <c r="B957" s="20" t="s">
        <v>891</v>
      </c>
      <c r="C957" s="40" t="s">
        <v>133</v>
      </c>
      <c r="D957" s="40" t="s">
        <v>155</v>
      </c>
      <c r="E957" s="2">
        <v>200</v>
      </c>
      <c r="F957" s="2"/>
      <c r="G957" s="6">
        <f>G958</f>
        <v>5.4</v>
      </c>
      <c r="H957" s="337">
        <f t="shared" si="555"/>
        <v>5.3360000000000003</v>
      </c>
      <c r="I957" s="337">
        <f t="shared" si="529"/>
        <v>98.81481481481481</v>
      </c>
    </row>
    <row r="958" spans="1:9" s="210" customFormat="1" ht="31.5" x14ac:dyDescent="0.25">
      <c r="A958" s="25" t="s">
        <v>148</v>
      </c>
      <c r="B958" s="20" t="s">
        <v>891</v>
      </c>
      <c r="C958" s="40" t="s">
        <v>133</v>
      </c>
      <c r="D958" s="40" t="s">
        <v>155</v>
      </c>
      <c r="E958" s="2">
        <v>240</v>
      </c>
      <c r="F958" s="2"/>
      <c r="G958" s="6">
        <f>'Пр.4 ведом.20'!G261</f>
        <v>5.4</v>
      </c>
      <c r="H958" s="337">
        <f>'Пр.4 ведом.20'!H261</f>
        <v>5.3360000000000003</v>
      </c>
      <c r="I958" s="337">
        <f t="shared" si="529"/>
        <v>98.81481481481481</v>
      </c>
    </row>
    <row r="959" spans="1:9" s="210" customFormat="1" ht="47.25" x14ac:dyDescent="0.25">
      <c r="A959" s="25" t="s">
        <v>276</v>
      </c>
      <c r="B959" s="20" t="s">
        <v>891</v>
      </c>
      <c r="C959" s="40" t="s">
        <v>133</v>
      </c>
      <c r="D959" s="40" t="s">
        <v>155</v>
      </c>
      <c r="E959" s="2">
        <v>240</v>
      </c>
      <c r="F959" s="2">
        <v>903</v>
      </c>
      <c r="G959" s="6">
        <f>G958</f>
        <v>5.4</v>
      </c>
      <c r="H959" s="337">
        <f t="shared" ref="H959" si="556">H958</f>
        <v>5.3360000000000003</v>
      </c>
      <c r="I959" s="337">
        <f t="shared" si="529"/>
        <v>98.81481481481481</v>
      </c>
    </row>
    <row r="960" spans="1:9" s="210" customFormat="1" ht="47.25" x14ac:dyDescent="0.25">
      <c r="A960" s="41" t="s">
        <v>947</v>
      </c>
      <c r="B960" s="24" t="s">
        <v>945</v>
      </c>
      <c r="C960" s="40"/>
      <c r="D960" s="40"/>
      <c r="E960" s="2"/>
      <c r="F960" s="2"/>
      <c r="G960" s="4">
        <f>G961+G981+G987+G993</f>
        <v>3415.3669999999997</v>
      </c>
      <c r="H960" s="4">
        <f t="shared" ref="H960" si="557">H961+H981+H987+H993</f>
        <v>3357.5269099999996</v>
      </c>
      <c r="I960" s="4">
        <f t="shared" si="529"/>
        <v>98.306475116729757</v>
      </c>
    </row>
    <row r="961" spans="1:9" s="210" customFormat="1" ht="15.75" x14ac:dyDescent="0.25">
      <c r="A961" s="29" t="s">
        <v>278</v>
      </c>
      <c r="B961" s="20" t="s">
        <v>945</v>
      </c>
      <c r="C961" s="40" t="s">
        <v>279</v>
      </c>
      <c r="D961" s="40"/>
      <c r="E961" s="2"/>
      <c r="F961" s="2"/>
      <c r="G961" s="6">
        <f>G962+G968+G972</f>
        <v>1985.6669999999999</v>
      </c>
      <c r="H961" s="337">
        <f t="shared" ref="H961" si="558">H962+H968+H972</f>
        <v>1952.56378</v>
      </c>
      <c r="I961" s="337">
        <f t="shared" si="529"/>
        <v>98.332891668139723</v>
      </c>
    </row>
    <row r="962" spans="1:9" s="210" customFormat="1" ht="15.75" x14ac:dyDescent="0.25">
      <c r="A962" s="29" t="s">
        <v>419</v>
      </c>
      <c r="B962" s="20" t="s">
        <v>945</v>
      </c>
      <c r="C962" s="40" t="s">
        <v>279</v>
      </c>
      <c r="D962" s="40" t="s">
        <v>133</v>
      </c>
      <c r="E962" s="2"/>
      <c r="F962" s="2"/>
      <c r="G962" s="6">
        <f>G963</f>
        <v>558.29999999999995</v>
      </c>
      <c r="H962" s="337">
        <f t="shared" ref="H962:H964" si="559">H963</f>
        <v>548.05560000000003</v>
      </c>
      <c r="I962" s="337">
        <f t="shared" si="529"/>
        <v>98.165072541644292</v>
      </c>
    </row>
    <row r="963" spans="1:9" s="210" customFormat="1" ht="47.25" x14ac:dyDescent="0.25">
      <c r="A963" s="45" t="s">
        <v>801</v>
      </c>
      <c r="B963" s="20" t="s">
        <v>1025</v>
      </c>
      <c r="C963" s="40" t="s">
        <v>279</v>
      </c>
      <c r="D963" s="40" t="s">
        <v>133</v>
      </c>
      <c r="E963" s="2"/>
      <c r="F963" s="2"/>
      <c r="G963" s="6">
        <f>G964</f>
        <v>558.29999999999995</v>
      </c>
      <c r="H963" s="337">
        <f t="shared" si="559"/>
        <v>548.05560000000003</v>
      </c>
      <c r="I963" s="337">
        <f t="shared" si="529"/>
        <v>98.165072541644292</v>
      </c>
    </row>
    <row r="964" spans="1:9" s="210" customFormat="1" ht="31.5" x14ac:dyDescent="0.25">
      <c r="A964" s="29" t="s">
        <v>287</v>
      </c>
      <c r="B964" s="20" t="s">
        <v>1025</v>
      </c>
      <c r="C964" s="40" t="s">
        <v>279</v>
      </c>
      <c r="D964" s="40" t="s">
        <v>133</v>
      </c>
      <c r="E964" s="2">
        <v>600</v>
      </c>
      <c r="F964" s="2"/>
      <c r="G964" s="6">
        <f>G965</f>
        <v>558.29999999999995</v>
      </c>
      <c r="H964" s="337">
        <f t="shared" si="559"/>
        <v>548.05560000000003</v>
      </c>
      <c r="I964" s="337">
        <f t="shared" si="529"/>
        <v>98.165072541644292</v>
      </c>
    </row>
    <row r="965" spans="1:9" s="210" customFormat="1" ht="15.75" x14ac:dyDescent="0.25">
      <c r="A965" s="193" t="s">
        <v>289</v>
      </c>
      <c r="B965" s="20" t="s">
        <v>1025</v>
      </c>
      <c r="C965" s="40" t="s">
        <v>279</v>
      </c>
      <c r="D965" s="40" t="s">
        <v>133</v>
      </c>
      <c r="E965" s="2">
        <v>610</v>
      </c>
      <c r="F965" s="2"/>
      <c r="G965" s="6">
        <f>'Пр.4 ведом.20'!G656</f>
        <v>558.29999999999995</v>
      </c>
      <c r="H965" s="337">
        <f>'Пр.4 ведом.20'!H656</f>
        <v>548.05560000000003</v>
      </c>
      <c r="I965" s="337">
        <f t="shared" si="529"/>
        <v>98.165072541644292</v>
      </c>
    </row>
    <row r="966" spans="1:9" s="210" customFormat="1" ht="31.5" x14ac:dyDescent="0.25">
      <c r="A966" s="45" t="s">
        <v>418</v>
      </c>
      <c r="B966" s="20" t="s">
        <v>1025</v>
      </c>
      <c r="C966" s="40" t="s">
        <v>279</v>
      </c>
      <c r="D966" s="40" t="s">
        <v>133</v>
      </c>
      <c r="E966" s="2">
        <v>610</v>
      </c>
      <c r="F966" s="2">
        <v>906</v>
      </c>
      <c r="G966" s="6">
        <f>G965</f>
        <v>558.29999999999995</v>
      </c>
      <c r="H966" s="337">
        <f t="shared" ref="H966" si="560">H965</f>
        <v>548.05560000000003</v>
      </c>
      <c r="I966" s="337">
        <f t="shared" si="529"/>
        <v>98.165072541644292</v>
      </c>
    </row>
    <row r="967" spans="1:9" s="210" customFormat="1" ht="15.75" x14ac:dyDescent="0.25">
      <c r="A967" s="45" t="s">
        <v>440</v>
      </c>
      <c r="B967" s="20" t="s">
        <v>945</v>
      </c>
      <c r="C967" s="40" t="s">
        <v>279</v>
      </c>
      <c r="D967" s="40" t="s">
        <v>228</v>
      </c>
      <c r="E967" s="2"/>
      <c r="F967" s="2"/>
      <c r="G967" s="6">
        <f>G968</f>
        <v>799.26699999999994</v>
      </c>
      <c r="H967" s="337">
        <f t="shared" ref="H967:H969" si="561">H968</f>
        <v>789.82100000000003</v>
      </c>
      <c r="I967" s="337">
        <f t="shared" si="529"/>
        <v>98.818167145647209</v>
      </c>
    </row>
    <row r="968" spans="1:9" s="210" customFormat="1" ht="47.25" x14ac:dyDescent="0.25">
      <c r="A968" s="45" t="s">
        <v>801</v>
      </c>
      <c r="B968" s="20" t="s">
        <v>1025</v>
      </c>
      <c r="C968" s="40" t="s">
        <v>279</v>
      </c>
      <c r="D968" s="40" t="s">
        <v>228</v>
      </c>
      <c r="E968" s="2"/>
      <c r="F968" s="2"/>
      <c r="G968" s="6">
        <f>G969</f>
        <v>799.26699999999994</v>
      </c>
      <c r="H968" s="337">
        <f t="shared" si="561"/>
        <v>789.82100000000003</v>
      </c>
      <c r="I968" s="337">
        <f t="shared" si="529"/>
        <v>98.818167145647209</v>
      </c>
    </row>
    <row r="969" spans="1:9" s="210" customFormat="1" ht="31.5" x14ac:dyDescent="0.25">
      <c r="A969" s="29" t="s">
        <v>287</v>
      </c>
      <c r="B969" s="20" t="s">
        <v>1025</v>
      </c>
      <c r="C969" s="40" t="s">
        <v>279</v>
      </c>
      <c r="D969" s="40" t="s">
        <v>228</v>
      </c>
      <c r="E969" s="2">
        <v>600</v>
      </c>
      <c r="F969" s="2"/>
      <c r="G969" s="6">
        <f>G970</f>
        <v>799.26699999999994</v>
      </c>
      <c r="H969" s="337">
        <f t="shared" si="561"/>
        <v>789.82100000000003</v>
      </c>
      <c r="I969" s="337">
        <f t="shared" si="529"/>
        <v>98.818167145647209</v>
      </c>
    </row>
    <row r="970" spans="1:9" s="210" customFormat="1" ht="15.75" x14ac:dyDescent="0.25">
      <c r="A970" s="193" t="s">
        <v>289</v>
      </c>
      <c r="B970" s="20" t="s">
        <v>1025</v>
      </c>
      <c r="C970" s="40" t="s">
        <v>279</v>
      </c>
      <c r="D970" s="40" t="s">
        <v>228</v>
      </c>
      <c r="E970" s="2">
        <v>610</v>
      </c>
      <c r="F970" s="2"/>
      <c r="G970" s="6">
        <f>'Пр.4 ведом.20'!G771</f>
        <v>799.26699999999994</v>
      </c>
      <c r="H970" s="337">
        <f>'Пр.4 ведом.20'!H771</f>
        <v>789.82100000000003</v>
      </c>
      <c r="I970" s="337">
        <f t="shared" si="529"/>
        <v>98.818167145647209</v>
      </c>
    </row>
    <row r="971" spans="1:9" s="210" customFormat="1" ht="31.5" x14ac:dyDescent="0.25">
      <c r="A971" s="45" t="s">
        <v>418</v>
      </c>
      <c r="B971" s="20" t="s">
        <v>1025</v>
      </c>
      <c r="C971" s="40" t="s">
        <v>279</v>
      </c>
      <c r="D971" s="40" t="s">
        <v>228</v>
      </c>
      <c r="E971" s="2">
        <v>610</v>
      </c>
      <c r="F971" s="2">
        <v>906</v>
      </c>
      <c r="G971" s="6">
        <f>G970</f>
        <v>799.26699999999994</v>
      </c>
      <c r="H971" s="337">
        <f t="shared" ref="H971" si="562">H970</f>
        <v>789.82100000000003</v>
      </c>
      <c r="I971" s="337">
        <f t="shared" si="529"/>
        <v>98.818167145647209</v>
      </c>
    </row>
    <row r="972" spans="1:9" s="210" customFormat="1" ht="15.75" x14ac:dyDescent="0.25">
      <c r="A972" s="45" t="s">
        <v>280</v>
      </c>
      <c r="B972" s="20" t="s">
        <v>945</v>
      </c>
      <c r="C972" s="40" t="s">
        <v>279</v>
      </c>
      <c r="D972" s="40" t="s">
        <v>230</v>
      </c>
      <c r="E972" s="2"/>
      <c r="F972" s="2"/>
      <c r="G972" s="6">
        <f>G973+G977</f>
        <v>628.09999999999991</v>
      </c>
      <c r="H972" s="337">
        <f t="shared" ref="H972" si="563">H973+H977</f>
        <v>614.68718000000001</v>
      </c>
      <c r="I972" s="337">
        <f t="shared" si="529"/>
        <v>97.864540678235969</v>
      </c>
    </row>
    <row r="973" spans="1:9" s="210" customFormat="1" ht="47.25" x14ac:dyDescent="0.25">
      <c r="A973" s="45" t="s">
        <v>801</v>
      </c>
      <c r="B973" s="20" t="s">
        <v>1025</v>
      </c>
      <c r="C973" s="40" t="s">
        <v>279</v>
      </c>
      <c r="D973" s="40" t="s">
        <v>230</v>
      </c>
      <c r="E973" s="2"/>
      <c r="F973" s="2"/>
      <c r="G973" s="6">
        <f>G974</f>
        <v>300.7</v>
      </c>
      <c r="H973" s="337">
        <f t="shared" ref="H973:H974" si="564">H974</f>
        <v>287.36470000000003</v>
      </c>
      <c r="I973" s="337">
        <f t="shared" si="529"/>
        <v>95.565247755237792</v>
      </c>
    </row>
    <row r="974" spans="1:9" s="210" customFormat="1" ht="31.5" x14ac:dyDescent="0.25">
      <c r="A974" s="29" t="s">
        <v>287</v>
      </c>
      <c r="B974" s="20" t="s">
        <v>1025</v>
      </c>
      <c r="C974" s="40" t="s">
        <v>279</v>
      </c>
      <c r="D974" s="40" t="s">
        <v>230</v>
      </c>
      <c r="E974" s="2">
        <v>600</v>
      </c>
      <c r="F974" s="2"/>
      <c r="G974" s="6">
        <f>G975</f>
        <v>300.7</v>
      </c>
      <c r="H974" s="337">
        <f t="shared" si="564"/>
        <v>287.36470000000003</v>
      </c>
      <c r="I974" s="337">
        <f t="shared" si="529"/>
        <v>95.565247755237792</v>
      </c>
    </row>
    <row r="975" spans="1:9" s="210" customFormat="1" ht="15.75" x14ac:dyDescent="0.25">
      <c r="A975" s="193" t="s">
        <v>289</v>
      </c>
      <c r="B975" s="20" t="s">
        <v>1025</v>
      </c>
      <c r="C975" s="40" t="s">
        <v>279</v>
      </c>
      <c r="D975" s="40" t="s">
        <v>230</v>
      </c>
      <c r="E975" s="2">
        <v>610</v>
      </c>
      <c r="F975" s="2"/>
      <c r="G975" s="6">
        <f>'Пр.4 ведом.20'!G808</f>
        <v>300.7</v>
      </c>
      <c r="H975" s="337">
        <f>'Пр.4 ведом.20'!H808</f>
        <v>287.36470000000003</v>
      </c>
      <c r="I975" s="337">
        <f t="shared" si="529"/>
        <v>95.565247755237792</v>
      </c>
    </row>
    <row r="976" spans="1:9" s="210" customFormat="1" ht="31.5" x14ac:dyDescent="0.25">
      <c r="A976" s="45" t="s">
        <v>418</v>
      </c>
      <c r="B976" s="20" t="s">
        <v>1025</v>
      </c>
      <c r="C976" s="40" t="s">
        <v>279</v>
      </c>
      <c r="D976" s="40" t="s">
        <v>230</v>
      </c>
      <c r="E976" s="2">
        <v>610</v>
      </c>
      <c r="F976" s="2">
        <v>906</v>
      </c>
      <c r="G976" s="6">
        <f>G975</f>
        <v>300.7</v>
      </c>
      <c r="H976" s="337">
        <f t="shared" ref="H976" si="565">H975</f>
        <v>287.36470000000003</v>
      </c>
      <c r="I976" s="337">
        <f t="shared" si="529"/>
        <v>95.565247755237792</v>
      </c>
    </row>
    <row r="977" spans="1:9" s="210" customFormat="1" ht="31.5" x14ac:dyDescent="0.25">
      <c r="A977" s="99" t="s">
        <v>1155</v>
      </c>
      <c r="B977" s="20" t="s">
        <v>946</v>
      </c>
      <c r="C977" s="40" t="s">
        <v>279</v>
      </c>
      <c r="D977" s="40" t="s">
        <v>230</v>
      </c>
      <c r="E977" s="2"/>
      <c r="F977" s="2"/>
      <c r="G977" s="6">
        <f>G978</f>
        <v>327.39999999999998</v>
      </c>
      <c r="H977" s="337">
        <f t="shared" ref="H977:H978" si="566">H978</f>
        <v>327.32247999999998</v>
      </c>
      <c r="I977" s="337">
        <f t="shared" ref="I977:I1040" si="567">H977/G977*100</f>
        <v>99.976322541233969</v>
      </c>
    </row>
    <row r="978" spans="1:9" s="210" customFormat="1" ht="31.5" x14ac:dyDescent="0.25">
      <c r="A978" s="25" t="s">
        <v>146</v>
      </c>
      <c r="B978" s="20" t="s">
        <v>946</v>
      </c>
      <c r="C978" s="40" t="s">
        <v>279</v>
      </c>
      <c r="D978" s="40" t="s">
        <v>230</v>
      </c>
      <c r="E978" s="2">
        <v>200</v>
      </c>
      <c r="F978" s="2"/>
      <c r="G978" s="6">
        <f>G979</f>
        <v>327.39999999999998</v>
      </c>
      <c r="H978" s="337">
        <f t="shared" si="566"/>
        <v>327.32247999999998</v>
      </c>
      <c r="I978" s="337">
        <f t="shared" si="567"/>
        <v>99.976322541233969</v>
      </c>
    </row>
    <row r="979" spans="1:9" s="210" customFormat="1" ht="31.5" x14ac:dyDescent="0.25">
      <c r="A979" s="25" t="s">
        <v>148</v>
      </c>
      <c r="B979" s="20" t="s">
        <v>946</v>
      </c>
      <c r="C979" s="40" t="s">
        <v>279</v>
      </c>
      <c r="D979" s="40" t="s">
        <v>230</v>
      </c>
      <c r="E979" s="2">
        <v>240</v>
      </c>
      <c r="F979" s="2"/>
      <c r="G979" s="6">
        <f>'Пр.4 ведом.20'!G339</f>
        <v>327.39999999999998</v>
      </c>
      <c r="H979" s="337">
        <f>'Пр.4 ведом.20'!H339</f>
        <v>327.32247999999998</v>
      </c>
      <c r="I979" s="337">
        <f t="shared" si="567"/>
        <v>99.976322541233969</v>
      </c>
    </row>
    <row r="980" spans="1:9" s="210" customFormat="1" ht="47.25" x14ac:dyDescent="0.25">
      <c r="A980" s="25" t="s">
        <v>276</v>
      </c>
      <c r="B980" s="20" t="s">
        <v>946</v>
      </c>
      <c r="C980" s="40" t="s">
        <v>279</v>
      </c>
      <c r="D980" s="40" t="s">
        <v>230</v>
      </c>
      <c r="E980" s="2">
        <v>240</v>
      </c>
      <c r="F980" s="2">
        <v>903</v>
      </c>
      <c r="G980" s="6">
        <f>G979</f>
        <v>327.39999999999998</v>
      </c>
      <c r="H980" s="337">
        <f t="shared" ref="H980" si="568">H979</f>
        <v>327.32247999999998</v>
      </c>
      <c r="I980" s="337">
        <f t="shared" si="567"/>
        <v>99.976322541233969</v>
      </c>
    </row>
    <row r="981" spans="1:9" s="210" customFormat="1" ht="15.75" x14ac:dyDescent="0.25">
      <c r="A981" s="25" t="s">
        <v>313</v>
      </c>
      <c r="B981" s="20" t="s">
        <v>945</v>
      </c>
      <c r="C981" s="40" t="s">
        <v>314</v>
      </c>
      <c r="D981" s="40"/>
      <c r="E981" s="2"/>
      <c r="F981" s="2"/>
      <c r="G981" s="6">
        <f>G982</f>
        <v>834.6</v>
      </c>
      <c r="H981" s="337">
        <f t="shared" ref="H981:H984" si="569">H982</f>
        <v>834.52212999999995</v>
      </c>
      <c r="I981" s="337">
        <f t="shared" si="567"/>
        <v>99.990669781931445</v>
      </c>
    </row>
    <row r="982" spans="1:9" s="210" customFormat="1" ht="15.75" x14ac:dyDescent="0.25">
      <c r="A982" s="25" t="s">
        <v>315</v>
      </c>
      <c r="B982" s="20" t="s">
        <v>945</v>
      </c>
      <c r="C982" s="40" t="s">
        <v>314</v>
      </c>
      <c r="D982" s="40" t="s">
        <v>133</v>
      </c>
      <c r="E982" s="2"/>
      <c r="F982" s="2"/>
      <c r="G982" s="6">
        <f>G983</f>
        <v>834.6</v>
      </c>
      <c r="H982" s="337">
        <f t="shared" si="569"/>
        <v>834.52212999999995</v>
      </c>
      <c r="I982" s="337">
        <f t="shared" si="567"/>
        <v>99.990669781931445</v>
      </c>
    </row>
    <row r="983" spans="1:9" s="210" customFormat="1" ht="31.5" x14ac:dyDescent="0.25">
      <c r="A983" s="45" t="s">
        <v>799</v>
      </c>
      <c r="B983" s="20" t="s">
        <v>946</v>
      </c>
      <c r="C983" s="40" t="s">
        <v>314</v>
      </c>
      <c r="D983" s="40" t="s">
        <v>133</v>
      </c>
      <c r="E983" s="2"/>
      <c r="F983" s="2"/>
      <c r="G983" s="6">
        <f>G984</f>
        <v>834.6</v>
      </c>
      <c r="H983" s="337">
        <f t="shared" si="569"/>
        <v>834.52212999999995</v>
      </c>
      <c r="I983" s="337">
        <f t="shared" si="567"/>
        <v>99.990669781931445</v>
      </c>
    </row>
    <row r="984" spans="1:9" s="210" customFormat="1" ht="31.5" x14ac:dyDescent="0.25">
      <c r="A984" s="25" t="s">
        <v>146</v>
      </c>
      <c r="B984" s="20" t="s">
        <v>946</v>
      </c>
      <c r="C984" s="40" t="s">
        <v>314</v>
      </c>
      <c r="D984" s="40" t="s">
        <v>133</v>
      </c>
      <c r="E984" s="2">
        <v>200</v>
      </c>
      <c r="F984" s="2"/>
      <c r="G984" s="6">
        <f>G985</f>
        <v>834.6</v>
      </c>
      <c r="H984" s="337">
        <f t="shared" si="569"/>
        <v>834.52212999999995</v>
      </c>
      <c r="I984" s="337">
        <f t="shared" si="567"/>
        <v>99.990669781931445</v>
      </c>
    </row>
    <row r="985" spans="1:9" s="210" customFormat="1" ht="31.5" x14ac:dyDescent="0.25">
      <c r="A985" s="25" t="s">
        <v>148</v>
      </c>
      <c r="B985" s="20" t="s">
        <v>946</v>
      </c>
      <c r="C985" s="40" t="s">
        <v>314</v>
      </c>
      <c r="D985" s="40" t="s">
        <v>133</v>
      </c>
      <c r="E985" s="2">
        <v>240</v>
      </c>
      <c r="F985" s="2"/>
      <c r="G985" s="6">
        <f>'Пр.4 ведом.20'!G439</f>
        <v>834.6</v>
      </c>
      <c r="H985" s="337">
        <f>'Пр.4 ведом.20'!H439</f>
        <v>834.52212999999995</v>
      </c>
      <c r="I985" s="337">
        <f t="shared" si="567"/>
        <v>99.990669781931445</v>
      </c>
    </row>
    <row r="986" spans="1:9" s="210" customFormat="1" ht="47.25" x14ac:dyDescent="0.25">
      <c r="A986" s="25" t="s">
        <v>276</v>
      </c>
      <c r="B986" s="20" t="s">
        <v>946</v>
      </c>
      <c r="C986" s="40" t="s">
        <v>314</v>
      </c>
      <c r="D986" s="40" t="s">
        <v>133</v>
      </c>
      <c r="E986" s="2">
        <v>240</v>
      </c>
      <c r="F986" s="2">
        <v>903</v>
      </c>
      <c r="G986" s="6">
        <f>G985</f>
        <v>834.6</v>
      </c>
      <c r="H986" s="337">
        <f t="shared" ref="H986" si="570">H985</f>
        <v>834.52212999999995</v>
      </c>
      <c r="I986" s="337">
        <f t="shared" si="567"/>
        <v>99.990669781931445</v>
      </c>
    </row>
    <row r="987" spans="1:9" s="210" customFormat="1" ht="15.75" x14ac:dyDescent="0.25">
      <c r="A987" s="25" t="s">
        <v>505</v>
      </c>
      <c r="B987" s="20" t="s">
        <v>945</v>
      </c>
      <c r="C987" s="40" t="s">
        <v>506</v>
      </c>
      <c r="D987" s="40"/>
      <c r="E987" s="2"/>
      <c r="F987" s="2"/>
      <c r="G987" s="6">
        <f>G988</f>
        <v>523.1</v>
      </c>
      <c r="H987" s="337">
        <f t="shared" ref="H987:H990" si="571">H988</f>
        <v>498.44099999999997</v>
      </c>
      <c r="I987" s="337">
        <f t="shared" si="567"/>
        <v>95.285987382909568</v>
      </c>
    </row>
    <row r="988" spans="1:9" s="210" customFormat="1" ht="15.75" x14ac:dyDescent="0.25">
      <c r="A988" s="25" t="s">
        <v>1269</v>
      </c>
      <c r="B988" s="20" t="s">
        <v>945</v>
      </c>
      <c r="C988" s="40" t="s">
        <v>506</v>
      </c>
      <c r="D988" s="40" t="s">
        <v>133</v>
      </c>
      <c r="E988" s="2"/>
      <c r="F988" s="2"/>
      <c r="G988" s="6">
        <f>G989</f>
        <v>523.1</v>
      </c>
      <c r="H988" s="337">
        <f t="shared" si="571"/>
        <v>498.44099999999997</v>
      </c>
      <c r="I988" s="337">
        <f t="shared" si="567"/>
        <v>95.285987382909568</v>
      </c>
    </row>
    <row r="989" spans="1:9" s="210" customFormat="1" ht="47.25" x14ac:dyDescent="0.25">
      <c r="A989" s="45" t="s">
        <v>801</v>
      </c>
      <c r="B989" s="20" t="s">
        <v>1025</v>
      </c>
      <c r="C989" s="40" t="s">
        <v>506</v>
      </c>
      <c r="D989" s="40" t="s">
        <v>133</v>
      </c>
      <c r="E989" s="2"/>
      <c r="F989" s="2"/>
      <c r="G989" s="6">
        <f>G990</f>
        <v>523.1</v>
      </c>
      <c r="H989" s="337">
        <f t="shared" si="571"/>
        <v>498.44099999999997</v>
      </c>
      <c r="I989" s="337">
        <f t="shared" si="567"/>
        <v>95.285987382909568</v>
      </c>
    </row>
    <row r="990" spans="1:9" s="210" customFormat="1" ht="31.5" x14ac:dyDescent="0.25">
      <c r="A990" s="29" t="s">
        <v>287</v>
      </c>
      <c r="B990" s="20" t="s">
        <v>1025</v>
      </c>
      <c r="C990" s="40" t="s">
        <v>506</v>
      </c>
      <c r="D990" s="40" t="s">
        <v>133</v>
      </c>
      <c r="E990" s="2">
        <v>600</v>
      </c>
      <c r="F990" s="2"/>
      <c r="G990" s="6">
        <f>G991</f>
        <v>523.1</v>
      </c>
      <c r="H990" s="337">
        <f t="shared" si="571"/>
        <v>498.44099999999997</v>
      </c>
      <c r="I990" s="337">
        <f t="shared" si="567"/>
        <v>95.285987382909568</v>
      </c>
    </row>
    <row r="991" spans="1:9" s="210" customFormat="1" ht="15.75" x14ac:dyDescent="0.25">
      <c r="A991" s="193" t="s">
        <v>289</v>
      </c>
      <c r="B991" s="20" t="s">
        <v>1025</v>
      </c>
      <c r="C991" s="40" t="s">
        <v>506</v>
      </c>
      <c r="D991" s="40" t="s">
        <v>133</v>
      </c>
      <c r="E991" s="2">
        <v>610</v>
      </c>
      <c r="F991" s="2"/>
      <c r="G991" s="6">
        <f>'Пр.4 ведом.20'!G919</f>
        <v>523.1</v>
      </c>
      <c r="H991" s="337">
        <f>'Пр.4 ведом.20'!H919</f>
        <v>498.44099999999997</v>
      </c>
      <c r="I991" s="337">
        <f t="shared" si="567"/>
        <v>95.285987382909568</v>
      </c>
    </row>
    <row r="992" spans="1:9" s="210" customFormat="1" ht="31.5" x14ac:dyDescent="0.25">
      <c r="A992" s="45" t="s">
        <v>495</v>
      </c>
      <c r="B992" s="20" t="s">
        <v>1025</v>
      </c>
      <c r="C992" s="40" t="s">
        <v>506</v>
      </c>
      <c r="D992" s="40" t="s">
        <v>133</v>
      </c>
      <c r="E992" s="2">
        <v>610</v>
      </c>
      <c r="F992" s="2">
        <v>907</v>
      </c>
      <c r="G992" s="6">
        <f>G991</f>
        <v>523.1</v>
      </c>
      <c r="H992" s="337">
        <f t="shared" ref="H992" si="572">H991</f>
        <v>498.44099999999997</v>
      </c>
      <c r="I992" s="337">
        <f t="shared" si="567"/>
        <v>95.285987382909568</v>
      </c>
    </row>
    <row r="993" spans="1:9" s="210" customFormat="1" ht="15.75" x14ac:dyDescent="0.25">
      <c r="A993" s="29" t="s">
        <v>597</v>
      </c>
      <c r="B993" s="20" t="s">
        <v>945</v>
      </c>
      <c r="C993" s="40" t="s">
        <v>253</v>
      </c>
      <c r="D993" s="40"/>
      <c r="E993" s="2"/>
      <c r="F993" s="2"/>
      <c r="G993" s="6">
        <f>G994</f>
        <v>72</v>
      </c>
      <c r="H993" s="337">
        <f t="shared" ref="H993:H996" si="573">H994</f>
        <v>72</v>
      </c>
      <c r="I993" s="337">
        <f t="shared" si="567"/>
        <v>100</v>
      </c>
    </row>
    <row r="994" spans="1:9" s="210" customFormat="1" ht="15.75" x14ac:dyDescent="0.25">
      <c r="A994" s="29" t="s">
        <v>598</v>
      </c>
      <c r="B994" s="20" t="s">
        <v>945</v>
      </c>
      <c r="C994" s="40" t="s">
        <v>253</v>
      </c>
      <c r="D994" s="40" t="s">
        <v>228</v>
      </c>
      <c r="E994" s="2"/>
      <c r="F994" s="2"/>
      <c r="G994" s="6">
        <f>G995</f>
        <v>72</v>
      </c>
      <c r="H994" s="337">
        <f t="shared" si="573"/>
        <v>72</v>
      </c>
      <c r="I994" s="337">
        <f t="shared" si="567"/>
        <v>100</v>
      </c>
    </row>
    <row r="995" spans="1:9" s="210" customFormat="1" ht="31.5" x14ac:dyDescent="0.25">
      <c r="A995" s="45" t="s">
        <v>799</v>
      </c>
      <c r="B995" s="20" t="s">
        <v>946</v>
      </c>
      <c r="C995" s="40" t="s">
        <v>253</v>
      </c>
      <c r="D995" s="40" t="s">
        <v>228</v>
      </c>
      <c r="E995" s="2"/>
      <c r="F995" s="2"/>
      <c r="G995" s="6">
        <f>G996</f>
        <v>72</v>
      </c>
      <c r="H995" s="337">
        <f t="shared" si="573"/>
        <v>72</v>
      </c>
      <c r="I995" s="337">
        <f t="shared" si="567"/>
        <v>100</v>
      </c>
    </row>
    <row r="996" spans="1:9" s="210" customFormat="1" ht="31.5" x14ac:dyDescent="0.25">
      <c r="A996" s="25" t="s">
        <v>146</v>
      </c>
      <c r="B996" s="20" t="s">
        <v>946</v>
      </c>
      <c r="C996" s="40" t="s">
        <v>253</v>
      </c>
      <c r="D996" s="40" t="s">
        <v>228</v>
      </c>
      <c r="E996" s="2">
        <v>200</v>
      </c>
      <c r="F996" s="2"/>
      <c r="G996" s="6">
        <f>G997</f>
        <v>72</v>
      </c>
      <c r="H996" s="337">
        <f t="shared" si="573"/>
        <v>72</v>
      </c>
      <c r="I996" s="337">
        <f t="shared" si="567"/>
        <v>100</v>
      </c>
    </row>
    <row r="997" spans="1:9" s="210" customFormat="1" ht="31.5" x14ac:dyDescent="0.25">
      <c r="A997" s="25" t="s">
        <v>148</v>
      </c>
      <c r="B997" s="20" t="s">
        <v>946</v>
      </c>
      <c r="C997" s="40" t="s">
        <v>253</v>
      </c>
      <c r="D997" s="40" t="s">
        <v>228</v>
      </c>
      <c r="E997" s="2">
        <v>240</v>
      </c>
      <c r="F997" s="2"/>
      <c r="G997" s="6">
        <f>'Пр.4 ведом.20'!G521</f>
        <v>72</v>
      </c>
      <c r="H997" s="337">
        <f>'Пр.4 ведом.20'!H521</f>
        <v>72</v>
      </c>
      <c r="I997" s="337">
        <f t="shared" si="567"/>
        <v>100</v>
      </c>
    </row>
    <row r="998" spans="1:9" s="210" customFormat="1" ht="47.25" x14ac:dyDescent="0.25">
      <c r="A998" s="25" t="s">
        <v>276</v>
      </c>
      <c r="B998" s="20" t="s">
        <v>946</v>
      </c>
      <c r="C998" s="40" t="s">
        <v>253</v>
      </c>
      <c r="D998" s="40" t="s">
        <v>228</v>
      </c>
      <c r="E998" s="2">
        <v>240</v>
      </c>
      <c r="F998" s="2">
        <v>903</v>
      </c>
      <c r="G998" s="6">
        <f>G995</f>
        <v>72</v>
      </c>
      <c r="H998" s="337">
        <f t="shared" ref="H998" si="574">H995</f>
        <v>72</v>
      </c>
      <c r="I998" s="337">
        <f t="shared" si="567"/>
        <v>100</v>
      </c>
    </row>
    <row r="999" spans="1:9" s="210" customFormat="1" ht="31.5" x14ac:dyDescent="0.25">
      <c r="A999" s="217" t="s">
        <v>1186</v>
      </c>
      <c r="B999" s="24" t="s">
        <v>897</v>
      </c>
      <c r="C999" s="7"/>
      <c r="D999" s="7"/>
      <c r="E999" s="3"/>
      <c r="F999" s="3"/>
      <c r="G999" s="4">
        <f>G1000</f>
        <v>15</v>
      </c>
      <c r="H999" s="4">
        <f t="shared" ref="H999:H1001" si="575">H1000</f>
        <v>15</v>
      </c>
      <c r="I999" s="4">
        <f t="shared" si="567"/>
        <v>100</v>
      </c>
    </row>
    <row r="1000" spans="1:9" s="210" customFormat="1" ht="15.75" x14ac:dyDescent="0.25">
      <c r="A1000" s="230" t="s">
        <v>132</v>
      </c>
      <c r="B1000" s="20" t="s">
        <v>897</v>
      </c>
      <c r="C1000" s="40" t="s">
        <v>133</v>
      </c>
      <c r="D1000" s="40"/>
      <c r="E1000" s="2"/>
      <c r="F1000" s="2"/>
      <c r="G1000" s="6">
        <f>G1001</f>
        <v>15</v>
      </c>
      <c r="H1000" s="337">
        <f t="shared" si="575"/>
        <v>15</v>
      </c>
      <c r="I1000" s="337">
        <f t="shared" si="567"/>
        <v>100</v>
      </c>
    </row>
    <row r="1001" spans="1:9" s="210" customFormat="1" ht="15.75" x14ac:dyDescent="0.25">
      <c r="A1001" s="230" t="s">
        <v>154</v>
      </c>
      <c r="B1001" s="20" t="s">
        <v>897</v>
      </c>
      <c r="C1001" s="40" t="s">
        <v>133</v>
      </c>
      <c r="D1001" s="40" t="s">
        <v>155</v>
      </c>
      <c r="E1001" s="2"/>
      <c r="F1001" s="2"/>
      <c r="G1001" s="6">
        <f>G1002</f>
        <v>15</v>
      </c>
      <c r="H1001" s="337">
        <f t="shared" si="575"/>
        <v>15</v>
      </c>
      <c r="I1001" s="337">
        <f t="shared" si="567"/>
        <v>100</v>
      </c>
    </row>
    <row r="1002" spans="1:9" ht="47.25" x14ac:dyDescent="0.25">
      <c r="A1002" s="267" t="s">
        <v>1156</v>
      </c>
      <c r="B1002" s="20" t="s">
        <v>892</v>
      </c>
      <c r="C1002" s="40" t="s">
        <v>133</v>
      </c>
      <c r="D1002" s="40" t="s">
        <v>155</v>
      </c>
      <c r="E1002" s="2"/>
      <c r="F1002" s="2"/>
      <c r="G1002" s="6">
        <f t="shared" ref="G1002:H1003" si="576">G1003</f>
        <v>15</v>
      </c>
      <c r="H1002" s="337">
        <f t="shared" si="576"/>
        <v>15</v>
      </c>
      <c r="I1002" s="337">
        <f t="shared" si="567"/>
        <v>100</v>
      </c>
    </row>
    <row r="1003" spans="1:9" ht="31.5" x14ac:dyDescent="0.25">
      <c r="A1003" s="25" t="s">
        <v>146</v>
      </c>
      <c r="B1003" s="20" t="s">
        <v>892</v>
      </c>
      <c r="C1003" s="40" t="s">
        <v>133</v>
      </c>
      <c r="D1003" s="40" t="s">
        <v>155</v>
      </c>
      <c r="E1003" s="2">
        <v>200</v>
      </c>
      <c r="F1003" s="2"/>
      <c r="G1003" s="6">
        <f t="shared" si="576"/>
        <v>15</v>
      </c>
      <c r="H1003" s="337">
        <f t="shared" si="576"/>
        <v>15</v>
      </c>
      <c r="I1003" s="337">
        <f t="shared" si="567"/>
        <v>100</v>
      </c>
    </row>
    <row r="1004" spans="1:9" ht="31.5" x14ac:dyDescent="0.25">
      <c r="A1004" s="25" t="s">
        <v>148</v>
      </c>
      <c r="B1004" s="20" t="s">
        <v>892</v>
      </c>
      <c r="C1004" s="40" t="s">
        <v>133</v>
      </c>
      <c r="D1004" s="40" t="s">
        <v>155</v>
      </c>
      <c r="E1004" s="2">
        <v>240</v>
      </c>
      <c r="F1004" s="2"/>
      <c r="G1004" s="6">
        <f>'Пр.4 ведом.20'!G140</f>
        <v>15</v>
      </c>
      <c r="H1004" s="337">
        <f>'Пр.4 ведом.20'!H140</f>
        <v>15</v>
      </c>
      <c r="I1004" s="337">
        <f t="shared" si="567"/>
        <v>100</v>
      </c>
    </row>
    <row r="1005" spans="1:9" ht="15.75" x14ac:dyDescent="0.25">
      <c r="A1005" s="29" t="s">
        <v>163</v>
      </c>
      <c r="B1005" s="20" t="s">
        <v>892</v>
      </c>
      <c r="C1005" s="40" t="s">
        <v>133</v>
      </c>
      <c r="D1005" s="40" t="s">
        <v>155</v>
      </c>
      <c r="E1005" s="2">
        <v>240</v>
      </c>
      <c r="F1005" s="2">
        <v>902</v>
      </c>
      <c r="G1005" s="6">
        <f>G1004</f>
        <v>15</v>
      </c>
      <c r="H1005" s="337">
        <f t="shared" ref="H1005" si="577">H1004</f>
        <v>15</v>
      </c>
      <c r="I1005" s="337">
        <f t="shared" si="567"/>
        <v>100</v>
      </c>
    </row>
    <row r="1006" spans="1:9" ht="63" hidden="1" x14ac:dyDescent="0.25">
      <c r="A1006" s="23" t="s">
        <v>820</v>
      </c>
      <c r="B1006" s="24" t="s">
        <v>732</v>
      </c>
      <c r="C1006" s="7"/>
      <c r="D1006" s="7"/>
      <c r="E1006" s="3"/>
      <c r="F1006" s="3"/>
      <c r="G1006" s="4">
        <f>G1007</f>
        <v>0</v>
      </c>
      <c r="H1006" s="4">
        <f t="shared" ref="H1006:H1007" si="578">H1007</f>
        <v>0</v>
      </c>
      <c r="I1006" s="337" t="e">
        <f t="shared" si="567"/>
        <v>#DIV/0!</v>
      </c>
    </row>
    <row r="1007" spans="1:9" s="210" customFormat="1" ht="31.5" hidden="1" x14ac:dyDescent="0.25">
      <c r="A1007" s="23" t="s">
        <v>1243</v>
      </c>
      <c r="B1007" s="24" t="s">
        <v>1283</v>
      </c>
      <c r="C1007" s="7"/>
      <c r="D1007" s="7"/>
      <c r="E1007" s="3"/>
      <c r="F1007" s="3"/>
      <c r="G1007" s="4">
        <f>G1008</f>
        <v>0</v>
      </c>
      <c r="H1007" s="4">
        <f t="shared" si="578"/>
        <v>0</v>
      </c>
      <c r="I1007" s="337" t="e">
        <f t="shared" si="567"/>
        <v>#DIV/0!</v>
      </c>
    </row>
    <row r="1008" spans="1:9" ht="15.75" hidden="1" x14ac:dyDescent="0.25">
      <c r="A1008" s="25" t="s">
        <v>405</v>
      </c>
      <c r="B1008" s="20" t="s">
        <v>879</v>
      </c>
      <c r="C1008" s="40" t="s">
        <v>249</v>
      </c>
      <c r="D1008" s="40"/>
      <c r="E1008" s="2"/>
      <c r="F1008" s="2"/>
      <c r="G1008" s="6">
        <f t="shared" ref="G1008:H1011" si="579">G1009</f>
        <v>0</v>
      </c>
      <c r="H1008" s="337">
        <f t="shared" si="579"/>
        <v>0</v>
      </c>
      <c r="I1008" s="337" t="e">
        <f t="shared" si="567"/>
        <v>#DIV/0!</v>
      </c>
    </row>
    <row r="1009" spans="1:9" ht="15.75" hidden="1" x14ac:dyDescent="0.25">
      <c r="A1009" s="25" t="s">
        <v>556</v>
      </c>
      <c r="B1009" s="20" t="s">
        <v>879</v>
      </c>
      <c r="C1009" s="40" t="s">
        <v>249</v>
      </c>
      <c r="D1009" s="40" t="s">
        <v>230</v>
      </c>
      <c r="E1009" s="2"/>
      <c r="F1009" s="2"/>
      <c r="G1009" s="6">
        <f t="shared" si="579"/>
        <v>0</v>
      </c>
      <c r="H1009" s="337">
        <f t="shared" si="579"/>
        <v>0</v>
      </c>
      <c r="I1009" s="337" t="e">
        <f t="shared" si="567"/>
        <v>#DIV/0!</v>
      </c>
    </row>
    <row r="1010" spans="1:9" ht="47.25" hidden="1" x14ac:dyDescent="0.25">
      <c r="A1010" s="80" t="s">
        <v>708</v>
      </c>
      <c r="B1010" s="20" t="s">
        <v>879</v>
      </c>
      <c r="C1010" s="40" t="s">
        <v>249</v>
      </c>
      <c r="D1010" s="40" t="s">
        <v>230</v>
      </c>
      <c r="E1010" s="2"/>
      <c r="F1010" s="2"/>
      <c r="G1010" s="6">
        <f t="shared" si="579"/>
        <v>0</v>
      </c>
      <c r="H1010" s="337">
        <f t="shared" si="579"/>
        <v>0</v>
      </c>
      <c r="I1010" s="337" t="e">
        <f t="shared" si="567"/>
        <v>#DIV/0!</v>
      </c>
    </row>
    <row r="1011" spans="1:9" ht="31.5" hidden="1" x14ac:dyDescent="0.25">
      <c r="A1011" s="25" t="s">
        <v>146</v>
      </c>
      <c r="B1011" s="20" t="s">
        <v>879</v>
      </c>
      <c r="C1011" s="40" t="s">
        <v>249</v>
      </c>
      <c r="D1011" s="40" t="s">
        <v>230</v>
      </c>
      <c r="E1011" s="2">
        <v>200</v>
      </c>
      <c r="F1011" s="2"/>
      <c r="G1011" s="6">
        <f t="shared" si="579"/>
        <v>0</v>
      </c>
      <c r="H1011" s="337">
        <f t="shared" si="579"/>
        <v>0</v>
      </c>
      <c r="I1011" s="337" t="e">
        <f t="shared" si="567"/>
        <v>#DIV/0!</v>
      </c>
    </row>
    <row r="1012" spans="1:9" ht="31.5" hidden="1" x14ac:dyDescent="0.25">
      <c r="A1012" s="25" t="s">
        <v>148</v>
      </c>
      <c r="B1012" s="20" t="s">
        <v>879</v>
      </c>
      <c r="C1012" s="40" t="s">
        <v>249</v>
      </c>
      <c r="D1012" s="40" t="s">
        <v>230</v>
      </c>
      <c r="E1012" s="2">
        <v>240</v>
      </c>
      <c r="F1012" s="2"/>
      <c r="G1012" s="6">
        <f>'Пр.4 ведом.20'!G1146</f>
        <v>0</v>
      </c>
      <c r="H1012" s="337">
        <f>'Пр.4 ведом.20'!H1146</f>
        <v>0</v>
      </c>
      <c r="I1012" s="337" t="e">
        <f t="shared" si="567"/>
        <v>#DIV/0!</v>
      </c>
    </row>
    <row r="1013" spans="1:9" ht="31.5" hidden="1" x14ac:dyDescent="0.25">
      <c r="A1013" s="45" t="s">
        <v>638</v>
      </c>
      <c r="B1013" s="20" t="s">
        <v>879</v>
      </c>
      <c r="C1013" s="40" t="s">
        <v>249</v>
      </c>
      <c r="D1013" s="40" t="s">
        <v>230</v>
      </c>
      <c r="E1013" s="2">
        <v>240</v>
      </c>
      <c r="F1013" s="2">
        <v>908</v>
      </c>
      <c r="G1013" s="6">
        <f t="shared" ref="G1013:H1013" si="580">G1006</f>
        <v>0</v>
      </c>
      <c r="H1013" s="337">
        <f t="shared" si="580"/>
        <v>0</v>
      </c>
      <c r="I1013" s="337" t="e">
        <f t="shared" si="567"/>
        <v>#DIV/0!</v>
      </c>
    </row>
    <row r="1014" spans="1:9" s="197" customFormat="1" ht="63" hidden="1" x14ac:dyDescent="0.25">
      <c r="A1014" s="58" t="s">
        <v>1179</v>
      </c>
      <c r="B1014" s="24" t="s">
        <v>804</v>
      </c>
      <c r="C1014" s="7"/>
      <c r="D1014" s="7"/>
      <c r="E1014" s="3"/>
      <c r="F1014" s="3"/>
      <c r="G1014" s="4">
        <f>G1016</f>
        <v>0</v>
      </c>
      <c r="H1014" s="4">
        <f t="shared" ref="H1014" si="581">H1016</f>
        <v>0</v>
      </c>
      <c r="I1014" s="337" t="e">
        <f t="shared" si="567"/>
        <v>#DIV/0!</v>
      </c>
    </row>
    <row r="1015" spans="1:9" s="197" customFormat="1" ht="31.5" hidden="1" x14ac:dyDescent="0.25">
      <c r="A1015" s="23" t="s">
        <v>1001</v>
      </c>
      <c r="B1015" s="24" t="s">
        <v>1180</v>
      </c>
      <c r="C1015" s="7"/>
      <c r="D1015" s="7"/>
      <c r="E1015" s="3"/>
      <c r="F1015" s="3"/>
      <c r="G1015" s="4">
        <f>G1016</f>
        <v>0</v>
      </c>
      <c r="H1015" s="4">
        <f t="shared" ref="H1015:H1019" si="582">H1016</f>
        <v>0</v>
      </c>
      <c r="I1015" s="337" t="e">
        <f t="shared" si="567"/>
        <v>#DIV/0!</v>
      </c>
    </row>
    <row r="1016" spans="1:9" ht="15.75" hidden="1" x14ac:dyDescent="0.25">
      <c r="A1016" s="45" t="s">
        <v>132</v>
      </c>
      <c r="B1016" s="20" t="s">
        <v>1180</v>
      </c>
      <c r="C1016" s="40" t="s">
        <v>133</v>
      </c>
      <c r="D1016" s="40"/>
      <c r="E1016" s="2"/>
      <c r="F1016" s="2"/>
      <c r="G1016" s="6">
        <f>G1017</f>
        <v>0</v>
      </c>
      <c r="H1016" s="337">
        <f t="shared" si="582"/>
        <v>0</v>
      </c>
      <c r="I1016" s="337" t="e">
        <f t="shared" si="567"/>
        <v>#DIV/0!</v>
      </c>
    </row>
    <row r="1017" spans="1:9" ht="15.75" hidden="1" x14ac:dyDescent="0.25">
      <c r="A1017" s="45" t="s">
        <v>154</v>
      </c>
      <c r="B1017" s="20" t="s">
        <v>1180</v>
      </c>
      <c r="C1017" s="40" t="s">
        <v>133</v>
      </c>
      <c r="D1017" s="40" t="s">
        <v>155</v>
      </c>
      <c r="E1017" s="2"/>
      <c r="F1017" s="2"/>
      <c r="G1017" s="6">
        <f>G1018</f>
        <v>0</v>
      </c>
      <c r="H1017" s="337">
        <f t="shared" si="582"/>
        <v>0</v>
      </c>
      <c r="I1017" s="337" t="e">
        <f t="shared" si="567"/>
        <v>#DIV/0!</v>
      </c>
    </row>
    <row r="1018" spans="1:9" ht="31.5" hidden="1" x14ac:dyDescent="0.25">
      <c r="A1018" s="45" t="s">
        <v>814</v>
      </c>
      <c r="B1018" s="20" t="s">
        <v>1181</v>
      </c>
      <c r="C1018" s="40" t="s">
        <v>133</v>
      </c>
      <c r="D1018" s="40" t="s">
        <v>155</v>
      </c>
      <c r="E1018" s="2"/>
      <c r="F1018" s="2"/>
      <c r="G1018" s="6">
        <f>G1019</f>
        <v>0</v>
      </c>
      <c r="H1018" s="337">
        <f t="shared" si="582"/>
        <v>0</v>
      </c>
      <c r="I1018" s="337" t="e">
        <f t="shared" si="567"/>
        <v>#DIV/0!</v>
      </c>
    </row>
    <row r="1019" spans="1:9" ht="31.5" hidden="1" x14ac:dyDescent="0.25">
      <c r="A1019" s="45" t="s">
        <v>146</v>
      </c>
      <c r="B1019" s="20" t="s">
        <v>1181</v>
      </c>
      <c r="C1019" s="40" t="s">
        <v>133</v>
      </c>
      <c r="D1019" s="40" t="s">
        <v>155</v>
      </c>
      <c r="E1019" s="2">
        <v>200</v>
      </c>
      <c r="F1019" s="2"/>
      <c r="G1019" s="6">
        <f>G1020</f>
        <v>0</v>
      </c>
      <c r="H1019" s="337">
        <f t="shared" si="582"/>
        <v>0</v>
      </c>
      <c r="I1019" s="337" t="e">
        <f t="shared" si="567"/>
        <v>#DIV/0!</v>
      </c>
    </row>
    <row r="1020" spans="1:9" ht="31.5" hidden="1" x14ac:dyDescent="0.25">
      <c r="A1020" s="45" t="s">
        <v>148</v>
      </c>
      <c r="B1020" s="20" t="s">
        <v>1181</v>
      </c>
      <c r="C1020" s="40" t="s">
        <v>133</v>
      </c>
      <c r="D1020" s="40" t="s">
        <v>155</v>
      </c>
      <c r="E1020" s="2">
        <v>240</v>
      </c>
      <c r="F1020" s="2"/>
      <c r="G1020" s="6">
        <f>'Пр.4 ведом.20'!G557</f>
        <v>0</v>
      </c>
      <c r="H1020" s="337">
        <f>'Пр.4 ведом.20'!H557</f>
        <v>0</v>
      </c>
      <c r="I1020" s="337" t="e">
        <f t="shared" si="567"/>
        <v>#DIV/0!</v>
      </c>
    </row>
    <row r="1021" spans="1:9" ht="31.5" hidden="1" x14ac:dyDescent="0.25">
      <c r="A1021" s="45" t="s">
        <v>402</v>
      </c>
      <c r="B1021" s="20" t="s">
        <v>1181</v>
      </c>
      <c r="C1021" s="40" t="s">
        <v>133</v>
      </c>
      <c r="D1021" s="40" t="s">
        <v>155</v>
      </c>
      <c r="E1021" s="2">
        <v>240</v>
      </c>
      <c r="F1021" s="2">
        <v>905</v>
      </c>
      <c r="G1021" s="6">
        <f>G1014</f>
        <v>0</v>
      </c>
      <c r="H1021" s="337">
        <f t="shared" ref="H1021" si="583">H1014</f>
        <v>0</v>
      </c>
      <c r="I1021" s="337" t="e">
        <f t="shared" si="567"/>
        <v>#DIV/0!</v>
      </c>
    </row>
    <row r="1022" spans="1:9" ht="78.75" x14ac:dyDescent="0.25">
      <c r="A1022" s="41" t="s">
        <v>1182</v>
      </c>
      <c r="B1022" s="24" t="s">
        <v>859</v>
      </c>
      <c r="C1022" s="7"/>
      <c r="D1022" s="7"/>
      <c r="E1022" s="3"/>
      <c r="F1022" s="3"/>
      <c r="G1022" s="4">
        <f>G1024</f>
        <v>30</v>
      </c>
      <c r="H1022" s="4">
        <f t="shared" ref="H1022" si="584">H1024</f>
        <v>0</v>
      </c>
      <c r="I1022" s="4">
        <f t="shared" si="567"/>
        <v>0</v>
      </c>
    </row>
    <row r="1023" spans="1:9" s="210" customFormat="1" ht="47.25" x14ac:dyDescent="0.25">
      <c r="A1023" s="218" t="s">
        <v>898</v>
      </c>
      <c r="B1023" s="24" t="s">
        <v>1260</v>
      </c>
      <c r="C1023" s="7"/>
      <c r="D1023" s="7"/>
      <c r="E1023" s="3"/>
      <c r="F1023" s="3"/>
      <c r="G1023" s="4">
        <f>G1024</f>
        <v>30</v>
      </c>
      <c r="H1023" s="4">
        <f t="shared" ref="H1023:H1027" si="585">H1024</f>
        <v>0</v>
      </c>
      <c r="I1023" s="4">
        <f t="shared" si="567"/>
        <v>0</v>
      </c>
    </row>
    <row r="1024" spans="1:9" ht="15.75" x14ac:dyDescent="0.25">
      <c r="A1024" s="45" t="s">
        <v>132</v>
      </c>
      <c r="B1024" s="20" t="s">
        <v>1260</v>
      </c>
      <c r="C1024" s="40" t="s">
        <v>133</v>
      </c>
      <c r="D1024" s="40"/>
      <c r="E1024" s="2"/>
      <c r="F1024" s="2"/>
      <c r="G1024" s="6">
        <f>G1025</f>
        <v>30</v>
      </c>
      <c r="H1024" s="337">
        <f t="shared" si="585"/>
        <v>0</v>
      </c>
      <c r="I1024" s="337">
        <f t="shared" si="567"/>
        <v>0</v>
      </c>
    </row>
    <row r="1025" spans="1:9" ht="15.75" x14ac:dyDescent="0.25">
      <c r="A1025" s="45" t="s">
        <v>154</v>
      </c>
      <c r="B1025" s="20" t="s">
        <v>1260</v>
      </c>
      <c r="C1025" s="40" t="s">
        <v>133</v>
      </c>
      <c r="D1025" s="40" t="s">
        <v>155</v>
      </c>
      <c r="E1025" s="2"/>
      <c r="F1025" s="2"/>
      <c r="G1025" s="6">
        <f>G1026</f>
        <v>30</v>
      </c>
      <c r="H1025" s="337">
        <f t="shared" si="585"/>
        <v>0</v>
      </c>
      <c r="I1025" s="337">
        <f t="shared" si="567"/>
        <v>0</v>
      </c>
    </row>
    <row r="1026" spans="1:9" ht="31.5" x14ac:dyDescent="0.25">
      <c r="A1026" s="98" t="s">
        <v>186</v>
      </c>
      <c r="B1026" s="20" t="s">
        <v>899</v>
      </c>
      <c r="C1026" s="40" t="s">
        <v>133</v>
      </c>
      <c r="D1026" s="40" t="s">
        <v>155</v>
      </c>
      <c r="E1026" s="2"/>
      <c r="F1026" s="2"/>
      <c r="G1026" s="6">
        <f>G1027</f>
        <v>30</v>
      </c>
      <c r="H1026" s="337">
        <f t="shared" si="585"/>
        <v>0</v>
      </c>
      <c r="I1026" s="337">
        <f t="shared" si="567"/>
        <v>0</v>
      </c>
    </row>
    <row r="1027" spans="1:9" ht="31.5" x14ac:dyDescent="0.25">
      <c r="A1027" s="45" t="s">
        <v>146</v>
      </c>
      <c r="B1027" s="20" t="s">
        <v>899</v>
      </c>
      <c r="C1027" s="40" t="s">
        <v>133</v>
      </c>
      <c r="D1027" s="40" t="s">
        <v>155</v>
      </c>
      <c r="E1027" s="2">
        <v>200</v>
      </c>
      <c r="F1027" s="2"/>
      <c r="G1027" s="6">
        <f>G1028</f>
        <v>30</v>
      </c>
      <c r="H1027" s="337">
        <f t="shared" si="585"/>
        <v>0</v>
      </c>
      <c r="I1027" s="337">
        <f t="shared" si="567"/>
        <v>0</v>
      </c>
    </row>
    <row r="1028" spans="1:9" ht="31.5" x14ac:dyDescent="0.25">
      <c r="A1028" s="45" t="s">
        <v>148</v>
      </c>
      <c r="B1028" s="20" t="s">
        <v>899</v>
      </c>
      <c r="C1028" s="40" t="s">
        <v>133</v>
      </c>
      <c r="D1028" s="40" t="s">
        <v>155</v>
      </c>
      <c r="E1028" s="2">
        <v>240</v>
      </c>
      <c r="F1028" s="2"/>
      <c r="G1028" s="6">
        <f>'Пр.4 ведом.20'!G145</f>
        <v>30</v>
      </c>
      <c r="H1028" s="337">
        <f>'Пр.4 ведом.20'!H145</f>
        <v>0</v>
      </c>
      <c r="I1028" s="337">
        <f t="shared" si="567"/>
        <v>0</v>
      </c>
    </row>
    <row r="1029" spans="1:9" ht="15.75" x14ac:dyDescent="0.25">
      <c r="A1029" s="29" t="s">
        <v>163</v>
      </c>
      <c r="B1029" s="20" t="s">
        <v>899</v>
      </c>
      <c r="C1029" s="40" t="s">
        <v>133</v>
      </c>
      <c r="D1029" s="40" t="s">
        <v>155</v>
      </c>
      <c r="E1029" s="2">
        <v>240</v>
      </c>
      <c r="F1029" s="2">
        <v>902</v>
      </c>
      <c r="G1029" s="6">
        <f>G1022</f>
        <v>30</v>
      </c>
      <c r="H1029" s="337">
        <f t="shared" ref="H1029" si="586">H1022</f>
        <v>0</v>
      </c>
      <c r="I1029" s="337">
        <f t="shared" si="567"/>
        <v>0</v>
      </c>
    </row>
    <row r="1030" spans="1:9" ht="63" x14ac:dyDescent="0.25">
      <c r="A1030" s="41" t="s">
        <v>1184</v>
      </c>
      <c r="B1030" s="24" t="s">
        <v>860</v>
      </c>
      <c r="C1030" s="7"/>
      <c r="D1030" s="7"/>
      <c r="E1030" s="3"/>
      <c r="F1030" s="3"/>
      <c r="G1030" s="4">
        <f>G1031</f>
        <v>80</v>
      </c>
      <c r="H1030" s="4">
        <f t="shared" ref="H1030" si="587">H1031</f>
        <v>19.850000000000001</v>
      </c>
      <c r="I1030" s="4">
        <f t="shared" si="567"/>
        <v>24.8125</v>
      </c>
    </row>
    <row r="1031" spans="1:9" s="210" customFormat="1" ht="31.5" x14ac:dyDescent="0.25">
      <c r="A1031" s="58" t="s">
        <v>900</v>
      </c>
      <c r="B1031" s="24" t="s">
        <v>908</v>
      </c>
      <c r="C1031" s="7"/>
      <c r="D1031" s="7"/>
      <c r="E1031" s="3"/>
      <c r="F1031" s="3"/>
      <c r="G1031" s="4">
        <f>G1032+G1038</f>
        <v>80</v>
      </c>
      <c r="H1031" s="4">
        <f t="shared" ref="H1031" si="588">H1032+H1038</f>
        <v>19.850000000000001</v>
      </c>
      <c r="I1031" s="4">
        <f t="shared" si="567"/>
        <v>24.8125</v>
      </c>
    </row>
    <row r="1032" spans="1:9" ht="15.75" x14ac:dyDescent="0.25">
      <c r="A1032" s="45" t="s">
        <v>132</v>
      </c>
      <c r="B1032" s="20" t="s">
        <v>908</v>
      </c>
      <c r="C1032" s="40" t="s">
        <v>133</v>
      </c>
      <c r="D1032" s="40"/>
      <c r="E1032" s="2"/>
      <c r="F1032" s="2"/>
      <c r="G1032" s="6">
        <f>G1033</f>
        <v>60</v>
      </c>
      <c r="H1032" s="337">
        <f t="shared" ref="H1032:H1035" si="589">H1033</f>
        <v>0</v>
      </c>
      <c r="I1032" s="337">
        <f t="shared" si="567"/>
        <v>0</v>
      </c>
    </row>
    <row r="1033" spans="1:9" ht="15.75" x14ac:dyDescent="0.25">
      <c r="A1033" s="45" t="s">
        <v>154</v>
      </c>
      <c r="B1033" s="20" t="s">
        <v>908</v>
      </c>
      <c r="C1033" s="40" t="s">
        <v>133</v>
      </c>
      <c r="D1033" s="40" t="s">
        <v>155</v>
      </c>
      <c r="E1033" s="2"/>
      <c r="F1033" s="2"/>
      <c r="G1033" s="6">
        <f>G1034</f>
        <v>60</v>
      </c>
      <c r="H1033" s="337">
        <f t="shared" si="589"/>
        <v>0</v>
      </c>
      <c r="I1033" s="337">
        <f t="shared" si="567"/>
        <v>0</v>
      </c>
    </row>
    <row r="1034" spans="1:9" ht="15.75" x14ac:dyDescent="0.25">
      <c r="A1034" s="45" t="s">
        <v>190</v>
      </c>
      <c r="B1034" s="20" t="s">
        <v>901</v>
      </c>
      <c r="C1034" s="40" t="s">
        <v>133</v>
      </c>
      <c r="D1034" s="40" t="s">
        <v>155</v>
      </c>
      <c r="E1034" s="2"/>
      <c r="F1034" s="2"/>
      <c r="G1034" s="6">
        <f>G1035</f>
        <v>60</v>
      </c>
      <c r="H1034" s="337">
        <f t="shared" si="589"/>
        <v>0</v>
      </c>
      <c r="I1034" s="337">
        <f t="shared" si="567"/>
        <v>0</v>
      </c>
    </row>
    <row r="1035" spans="1:9" ht="31.5" x14ac:dyDescent="0.25">
      <c r="A1035" s="45" t="s">
        <v>146</v>
      </c>
      <c r="B1035" s="20" t="s">
        <v>901</v>
      </c>
      <c r="C1035" s="40" t="s">
        <v>133</v>
      </c>
      <c r="D1035" s="40" t="s">
        <v>155</v>
      </c>
      <c r="E1035" s="2">
        <v>200</v>
      </c>
      <c r="F1035" s="2"/>
      <c r="G1035" s="6">
        <f>G1036</f>
        <v>60</v>
      </c>
      <c r="H1035" s="337">
        <f t="shared" si="589"/>
        <v>0</v>
      </c>
      <c r="I1035" s="337">
        <f t="shared" si="567"/>
        <v>0</v>
      </c>
    </row>
    <row r="1036" spans="1:9" ht="31.5" x14ac:dyDescent="0.25">
      <c r="A1036" s="45" t="s">
        <v>148</v>
      </c>
      <c r="B1036" s="20" t="s">
        <v>901</v>
      </c>
      <c r="C1036" s="40" t="s">
        <v>133</v>
      </c>
      <c r="D1036" s="40" t="s">
        <v>155</v>
      </c>
      <c r="E1036" s="2">
        <v>240</v>
      </c>
      <c r="F1036" s="2"/>
      <c r="G1036" s="6">
        <f>'Пр.4 ведом.20'!G150</f>
        <v>60</v>
      </c>
      <c r="H1036" s="337">
        <f>'Пр.4 ведом.20'!H150</f>
        <v>0</v>
      </c>
      <c r="I1036" s="337">
        <f t="shared" si="567"/>
        <v>0</v>
      </c>
    </row>
    <row r="1037" spans="1:9" ht="15.75" x14ac:dyDescent="0.25">
      <c r="A1037" s="29" t="s">
        <v>163</v>
      </c>
      <c r="B1037" s="20" t="s">
        <v>901</v>
      </c>
      <c r="C1037" s="40" t="s">
        <v>133</v>
      </c>
      <c r="D1037" s="40" t="s">
        <v>155</v>
      </c>
      <c r="E1037" s="2">
        <v>240</v>
      </c>
      <c r="F1037" s="2">
        <v>902</v>
      </c>
      <c r="G1037" s="6">
        <f>G1036</f>
        <v>60</v>
      </c>
      <c r="H1037" s="337">
        <f t="shared" ref="H1037" si="590">H1036</f>
        <v>0</v>
      </c>
      <c r="I1037" s="337">
        <f t="shared" si="567"/>
        <v>0</v>
      </c>
    </row>
    <row r="1038" spans="1:9" s="345" customFormat="1" ht="31.5" x14ac:dyDescent="0.25">
      <c r="A1038" s="45" t="s">
        <v>146</v>
      </c>
      <c r="B1038" s="347" t="s">
        <v>901</v>
      </c>
      <c r="C1038" s="324" t="s">
        <v>133</v>
      </c>
      <c r="D1038" s="324" t="s">
        <v>155</v>
      </c>
      <c r="E1038" s="2">
        <v>200</v>
      </c>
      <c r="F1038" s="2"/>
      <c r="G1038" s="337">
        <f>G1039</f>
        <v>20</v>
      </c>
      <c r="H1038" s="337">
        <f t="shared" ref="H1038:H1039" si="591">H1039</f>
        <v>19.850000000000001</v>
      </c>
      <c r="I1038" s="337">
        <f t="shared" si="567"/>
        <v>99.25</v>
      </c>
    </row>
    <row r="1039" spans="1:9" s="345" customFormat="1" ht="31.5" x14ac:dyDescent="0.25">
      <c r="A1039" s="45" t="s">
        <v>148</v>
      </c>
      <c r="B1039" s="347" t="s">
        <v>901</v>
      </c>
      <c r="C1039" s="324" t="s">
        <v>133</v>
      </c>
      <c r="D1039" s="324" t="s">
        <v>155</v>
      </c>
      <c r="E1039" s="2">
        <v>240</v>
      </c>
      <c r="F1039" s="2"/>
      <c r="G1039" s="337">
        <f>G1040</f>
        <v>20</v>
      </c>
      <c r="H1039" s="337">
        <f t="shared" si="591"/>
        <v>19.850000000000001</v>
      </c>
      <c r="I1039" s="337">
        <f t="shared" si="567"/>
        <v>99.25</v>
      </c>
    </row>
    <row r="1040" spans="1:9" s="345" customFormat="1" ht="47.25" x14ac:dyDescent="0.25">
      <c r="A1040" s="323" t="s">
        <v>276</v>
      </c>
      <c r="B1040" s="347" t="s">
        <v>901</v>
      </c>
      <c r="C1040" s="324" t="s">
        <v>133</v>
      </c>
      <c r="D1040" s="324" t="s">
        <v>155</v>
      </c>
      <c r="E1040" s="2">
        <v>240</v>
      </c>
      <c r="F1040" s="2">
        <v>903</v>
      </c>
      <c r="G1040" s="337">
        <f>'Пр.4 ведом.20'!G266</f>
        <v>20</v>
      </c>
      <c r="H1040" s="337">
        <f>'Пр.4 ведом.20'!H266</f>
        <v>19.850000000000001</v>
      </c>
      <c r="I1040" s="337">
        <f t="shared" si="567"/>
        <v>99.25</v>
      </c>
    </row>
    <row r="1041" spans="1:9" s="210" customFormat="1" ht="47.25" hidden="1" x14ac:dyDescent="0.25">
      <c r="A1041" s="23" t="s">
        <v>1355</v>
      </c>
      <c r="B1041" s="24" t="s">
        <v>1354</v>
      </c>
      <c r="C1041" s="40"/>
      <c r="D1041" s="40"/>
      <c r="E1041" s="2"/>
      <c r="F1041" s="2"/>
      <c r="G1041" s="4">
        <f t="shared" ref="G1041:H1047" si="592">G1042</f>
        <v>0</v>
      </c>
      <c r="H1041" s="4">
        <f t="shared" si="592"/>
        <v>0</v>
      </c>
      <c r="I1041" s="337" t="e">
        <f t="shared" ref="I1041:I1049" si="593">H1041/G1041*100</f>
        <v>#DIV/0!</v>
      </c>
    </row>
    <row r="1042" spans="1:9" s="210" customFormat="1" ht="31.5" hidden="1" x14ac:dyDescent="0.25">
      <c r="A1042" s="23" t="s">
        <v>1356</v>
      </c>
      <c r="B1042" s="24" t="s">
        <v>1357</v>
      </c>
      <c r="C1042" s="40"/>
      <c r="D1042" s="40"/>
      <c r="E1042" s="2"/>
      <c r="F1042" s="2"/>
      <c r="G1042" s="4">
        <f t="shared" si="592"/>
        <v>0</v>
      </c>
      <c r="H1042" s="4">
        <f t="shared" si="592"/>
        <v>0</v>
      </c>
      <c r="I1042" s="337" t="e">
        <f t="shared" si="593"/>
        <v>#DIV/0!</v>
      </c>
    </row>
    <row r="1043" spans="1:9" s="210" customFormat="1" ht="15.75" hidden="1" x14ac:dyDescent="0.25">
      <c r="A1043" s="29" t="s">
        <v>405</v>
      </c>
      <c r="B1043" s="20" t="s">
        <v>1357</v>
      </c>
      <c r="C1043" s="40" t="s">
        <v>249</v>
      </c>
      <c r="D1043" s="40"/>
      <c r="E1043" s="2"/>
      <c r="F1043" s="2"/>
      <c r="G1043" s="6">
        <f t="shared" si="592"/>
        <v>0</v>
      </c>
      <c r="H1043" s="337">
        <f t="shared" si="592"/>
        <v>0</v>
      </c>
      <c r="I1043" s="337" t="e">
        <f t="shared" si="593"/>
        <v>#DIV/0!</v>
      </c>
    </row>
    <row r="1044" spans="1:9" s="210" customFormat="1" ht="15.75" hidden="1" x14ac:dyDescent="0.25">
      <c r="A1044" s="29" t="s">
        <v>532</v>
      </c>
      <c r="B1044" s="20" t="s">
        <v>1357</v>
      </c>
      <c r="C1044" s="40" t="s">
        <v>249</v>
      </c>
      <c r="D1044" s="40" t="s">
        <v>228</v>
      </c>
      <c r="E1044" s="2"/>
      <c r="F1044" s="2"/>
      <c r="G1044" s="6">
        <f t="shared" si="592"/>
        <v>0</v>
      </c>
      <c r="H1044" s="337">
        <f t="shared" si="592"/>
        <v>0</v>
      </c>
      <c r="I1044" s="337" t="e">
        <f t="shared" si="593"/>
        <v>#DIV/0!</v>
      </c>
    </row>
    <row r="1045" spans="1:9" s="210" customFormat="1" ht="15.75" hidden="1" x14ac:dyDescent="0.25">
      <c r="A1045" s="29" t="s">
        <v>1359</v>
      </c>
      <c r="B1045" s="20" t="s">
        <v>1358</v>
      </c>
      <c r="C1045" s="40" t="s">
        <v>249</v>
      </c>
      <c r="D1045" s="40" t="s">
        <v>228</v>
      </c>
      <c r="E1045" s="2"/>
      <c r="F1045" s="2"/>
      <c r="G1045" s="6">
        <f t="shared" si="592"/>
        <v>0</v>
      </c>
      <c r="H1045" s="337">
        <f t="shared" si="592"/>
        <v>0</v>
      </c>
      <c r="I1045" s="337" t="e">
        <f t="shared" si="593"/>
        <v>#DIV/0!</v>
      </c>
    </row>
    <row r="1046" spans="1:9" s="210" customFormat="1" ht="31.5" hidden="1" x14ac:dyDescent="0.25">
      <c r="A1046" s="45" t="s">
        <v>146</v>
      </c>
      <c r="B1046" s="20" t="s">
        <v>1358</v>
      </c>
      <c r="C1046" s="40" t="s">
        <v>249</v>
      </c>
      <c r="D1046" s="40" t="s">
        <v>228</v>
      </c>
      <c r="E1046" s="2">
        <v>200</v>
      </c>
      <c r="F1046" s="2"/>
      <c r="G1046" s="6">
        <f t="shared" si="592"/>
        <v>0</v>
      </c>
      <c r="H1046" s="337">
        <f t="shared" si="592"/>
        <v>0</v>
      </c>
      <c r="I1046" s="337" t="e">
        <f t="shared" si="593"/>
        <v>#DIV/0!</v>
      </c>
    </row>
    <row r="1047" spans="1:9" s="210" customFormat="1" ht="31.5" hidden="1" x14ac:dyDescent="0.25">
      <c r="A1047" s="45" t="s">
        <v>148</v>
      </c>
      <c r="B1047" s="20" t="s">
        <v>1358</v>
      </c>
      <c r="C1047" s="40" t="s">
        <v>249</v>
      </c>
      <c r="D1047" s="40" t="s">
        <v>228</v>
      </c>
      <c r="E1047" s="2">
        <v>240</v>
      </c>
      <c r="F1047" s="2"/>
      <c r="G1047" s="6">
        <f t="shared" si="592"/>
        <v>0</v>
      </c>
      <c r="H1047" s="337">
        <f t="shared" si="592"/>
        <v>0</v>
      </c>
      <c r="I1047" s="337" t="e">
        <f t="shared" si="593"/>
        <v>#DIV/0!</v>
      </c>
    </row>
    <row r="1048" spans="1:9" s="210" customFormat="1" ht="47.25" hidden="1" x14ac:dyDescent="0.25">
      <c r="A1048" s="29" t="s">
        <v>1302</v>
      </c>
      <c r="B1048" s="20" t="s">
        <v>1358</v>
      </c>
      <c r="C1048" s="40" t="s">
        <v>249</v>
      </c>
      <c r="D1048" s="40" t="s">
        <v>228</v>
      </c>
      <c r="E1048" s="2">
        <v>240</v>
      </c>
      <c r="F1048" s="2">
        <v>908</v>
      </c>
      <c r="G1048" s="6">
        <f>'Пр.4 ведом.20'!G1095</f>
        <v>0</v>
      </c>
      <c r="H1048" s="337">
        <f>'Пр.4 ведом.20'!H1095</f>
        <v>0</v>
      </c>
      <c r="I1048" s="337" t="e">
        <f t="shared" si="593"/>
        <v>#DIV/0!</v>
      </c>
    </row>
    <row r="1049" spans="1:9" ht="15.75" x14ac:dyDescent="0.25">
      <c r="A1049" s="72" t="s">
        <v>672</v>
      </c>
      <c r="B1049" s="72"/>
      <c r="C1049" s="72"/>
      <c r="D1049" s="72"/>
      <c r="E1049" s="72"/>
      <c r="F1049" s="72"/>
      <c r="G1049" s="121">
        <f>G1030+G1022+G1014+G1006+G948+G913+G844+G787+G756+G591+G512+G504+G466+G454+G162+G29+G9+G863+G1041</f>
        <v>474811.50140000007</v>
      </c>
      <c r="H1049" s="121">
        <f t="shared" ref="H1049" si="594">H1030+H1022+H1014+H1006+H948+H913+H844+H787+H756+H591+H512+H504+H466+H454+H162+H29+H9+H863+H1041</f>
        <v>453119.53311999992</v>
      </c>
      <c r="I1049" s="4">
        <f t="shared" si="593"/>
        <v>95.431456858976546</v>
      </c>
    </row>
    <row r="1051" spans="1:9" hidden="1" x14ac:dyDescent="0.25">
      <c r="G1051" s="212">
        <f>'Пр.4 ведом.20'!G1299</f>
        <v>474811.50140000001</v>
      </c>
      <c r="H1051" s="212">
        <f>'Пр.4 ведом.20'!H1299</f>
        <v>453119.53312000009</v>
      </c>
      <c r="I1051" s="212" t="e">
        <f>'Пр.4 ведом.20'!I1299</f>
        <v>#DIV/0!</v>
      </c>
    </row>
    <row r="1052" spans="1:9" hidden="1" x14ac:dyDescent="0.25">
      <c r="G1052" s="212">
        <f>G1051-G1049</f>
        <v>0</v>
      </c>
      <c r="H1052" s="212">
        <f t="shared" ref="H1052:I1052" si="595">H1051-H1049</f>
        <v>0</v>
      </c>
      <c r="I1052" s="212" t="e">
        <f t="shared" si="595"/>
        <v>#DIV/0!</v>
      </c>
    </row>
    <row r="1053" spans="1:9" hidden="1" x14ac:dyDescent="0.25"/>
  </sheetData>
  <mergeCells count="3">
    <mergeCell ref="H1:I1"/>
    <mergeCell ref="A5:I5"/>
    <mergeCell ref="H2:I2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11"/>
      <c r="B1" s="211"/>
      <c r="C1" s="211"/>
      <c r="D1" s="211"/>
      <c r="E1" s="211"/>
      <c r="F1" s="211"/>
      <c r="G1" s="441" t="s">
        <v>1527</v>
      </c>
      <c r="H1" s="441"/>
    </row>
    <row r="2" spans="1:8" ht="15.75" x14ac:dyDescent="0.25">
      <c r="A2" s="211"/>
      <c r="B2" s="211"/>
      <c r="C2" s="211"/>
      <c r="D2" s="211"/>
      <c r="E2" s="211"/>
      <c r="F2" s="211"/>
      <c r="G2" s="441" t="s">
        <v>606</v>
      </c>
      <c r="H2" s="441"/>
    </row>
    <row r="3" spans="1:8" ht="15.75" x14ac:dyDescent="0.25">
      <c r="A3" s="211"/>
      <c r="B3" s="211"/>
      <c r="C3" s="211"/>
      <c r="D3" s="211"/>
      <c r="E3" s="211"/>
      <c r="F3" s="62"/>
      <c r="G3" s="435" t="s">
        <v>1600</v>
      </c>
      <c r="H3" s="435"/>
    </row>
    <row r="4" spans="1:8" s="210" customFormat="1" ht="15.75" x14ac:dyDescent="0.25">
      <c r="A4" s="211"/>
      <c r="B4" s="211"/>
      <c r="C4" s="211"/>
      <c r="D4" s="211"/>
      <c r="E4" s="211"/>
      <c r="F4" s="62"/>
      <c r="G4" s="211"/>
      <c r="H4" s="130"/>
    </row>
    <row r="5" spans="1:8" ht="44.45" customHeight="1" x14ac:dyDescent="0.25">
      <c r="A5" s="440" t="s">
        <v>1347</v>
      </c>
      <c r="B5" s="440"/>
      <c r="C5" s="440"/>
      <c r="D5" s="440"/>
      <c r="E5" s="440"/>
      <c r="F5" s="440"/>
      <c r="G5" s="440"/>
      <c r="H5" s="440"/>
    </row>
    <row r="6" spans="1:8" ht="16.5" x14ac:dyDescent="0.25">
      <c r="A6" s="251"/>
      <c r="B6" s="251"/>
      <c r="C6" s="251"/>
      <c r="D6" s="251"/>
      <c r="E6" s="251"/>
      <c r="F6" s="251"/>
      <c r="G6" s="211"/>
      <c r="H6" s="211"/>
    </row>
    <row r="7" spans="1:8" ht="15.75" x14ac:dyDescent="0.25">
      <c r="A7" s="62"/>
      <c r="B7" s="62"/>
      <c r="C7" s="62"/>
      <c r="D7" s="62"/>
      <c r="E7" s="64"/>
      <c r="F7" s="64"/>
      <c r="G7" s="211"/>
      <c r="H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1" t="s">
        <v>1191</v>
      </c>
      <c r="H8" s="180" t="s">
        <v>1192</v>
      </c>
    </row>
    <row r="9" spans="1:8" ht="63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6">
        <f>H15</f>
        <v>0</v>
      </c>
    </row>
    <row r="17" spans="1:8" ht="47.25" x14ac:dyDescent="0.25">
      <c r="A17" s="34" t="s">
        <v>1235</v>
      </c>
      <c r="B17" s="24" t="s">
        <v>1093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1151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1151</v>
      </c>
      <c r="C22" s="40" t="s">
        <v>165</v>
      </c>
      <c r="D22" s="40" t="s">
        <v>234</v>
      </c>
      <c r="E22" s="40" t="s">
        <v>149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638</v>
      </c>
      <c r="B23" s="40" t="s">
        <v>1151</v>
      </c>
      <c r="C23" s="40" t="s">
        <v>165</v>
      </c>
      <c r="D23" s="40" t="s">
        <v>234</v>
      </c>
      <c r="E23" s="40" t="s">
        <v>149</v>
      </c>
      <c r="F23" s="40" t="s">
        <v>639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1151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1151</v>
      </c>
      <c r="C25" s="40" t="s">
        <v>165</v>
      </c>
      <c r="D25" s="40" t="s">
        <v>234</v>
      </c>
      <c r="E25" s="40" t="s">
        <v>153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638</v>
      </c>
      <c r="B26" s="40" t="s">
        <v>1151</v>
      </c>
      <c r="C26" s="40" t="s">
        <v>165</v>
      </c>
      <c r="D26" s="40" t="s">
        <v>234</v>
      </c>
      <c r="E26" s="40" t="s">
        <v>153</v>
      </c>
      <c r="F26" s="40" t="s">
        <v>639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3452.5</v>
      </c>
      <c r="H27" s="59" t="e">
        <f>H28+H57+H65+H73+H91+H99+H107+H148</f>
        <v>#REF!</v>
      </c>
    </row>
    <row r="28" spans="1:8" ht="31.5" x14ac:dyDescent="0.25">
      <c r="A28" s="58" t="s">
        <v>640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16" t="s">
        <v>1194</v>
      </c>
      <c r="B29" s="24" t="s">
        <v>950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950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481</v>
      </c>
      <c r="B31" s="40" t="s">
        <v>950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1200</v>
      </c>
      <c r="B32" s="20" t="s">
        <v>951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951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951</v>
      </c>
      <c r="C34" s="40" t="s">
        <v>279</v>
      </c>
      <c r="D34" s="40" t="s">
        <v>279</v>
      </c>
      <c r="E34" s="40" t="s">
        <v>224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276</v>
      </c>
      <c r="B35" s="20" t="s">
        <v>951</v>
      </c>
      <c r="C35" s="40" t="s">
        <v>279</v>
      </c>
      <c r="D35" s="40" t="s">
        <v>279</v>
      </c>
      <c r="E35" s="40" t="s">
        <v>224</v>
      </c>
      <c r="F35" s="40" t="s">
        <v>642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1195</v>
      </c>
      <c r="B36" s="20" t="s">
        <v>1219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1219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1219</v>
      </c>
      <c r="C38" s="40" t="s">
        <v>279</v>
      </c>
      <c r="D38" s="40" t="s">
        <v>279</v>
      </c>
      <c r="E38" s="40" t="s">
        <v>149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276</v>
      </c>
      <c r="B39" s="20" t="s">
        <v>1219</v>
      </c>
      <c r="C39" s="40" t="s">
        <v>279</v>
      </c>
      <c r="D39" s="40" t="s">
        <v>279</v>
      </c>
      <c r="E39" s="40" t="s">
        <v>149</v>
      </c>
      <c r="F39" s="40" t="s">
        <v>642</v>
      </c>
      <c r="G39" s="6">
        <f>G38</f>
        <v>0</v>
      </c>
      <c r="H39" s="6">
        <f>H38</f>
        <v>0</v>
      </c>
    </row>
    <row r="40" spans="1:8" ht="78.75" x14ac:dyDescent="0.25">
      <c r="A40" s="23" t="s">
        <v>1196</v>
      </c>
      <c r="B40" s="24" t="s">
        <v>952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952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952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1197</v>
      </c>
      <c r="B43" s="20" t="s">
        <v>970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970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970</v>
      </c>
      <c r="C45" s="40" t="s">
        <v>279</v>
      </c>
      <c r="D45" s="40" t="s">
        <v>279</v>
      </c>
      <c r="E45" s="40" t="s">
        <v>224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276</v>
      </c>
      <c r="B46" s="20" t="s">
        <v>970</v>
      </c>
      <c r="C46" s="40" t="s">
        <v>279</v>
      </c>
      <c r="D46" s="40" t="s">
        <v>279</v>
      </c>
      <c r="E46" s="40" t="s">
        <v>224</v>
      </c>
      <c r="F46" s="40" t="s">
        <v>642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970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970</v>
      </c>
      <c r="C48" s="40" t="s">
        <v>279</v>
      </c>
      <c r="D48" s="40" t="s">
        <v>279</v>
      </c>
      <c r="E48" s="40" t="s">
        <v>149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276</v>
      </c>
      <c r="B49" s="20" t="s">
        <v>970</v>
      </c>
      <c r="C49" s="40" t="s">
        <v>279</v>
      </c>
      <c r="D49" s="40" t="s">
        <v>279</v>
      </c>
      <c r="E49" s="40" t="s">
        <v>149</v>
      </c>
      <c r="F49" s="40" t="s">
        <v>642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1202</v>
      </c>
      <c r="B50" s="24" t="s">
        <v>1198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1198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1198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39" t="s">
        <v>1199</v>
      </c>
      <c r="B53" s="20" t="s">
        <v>1220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1220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1220</v>
      </c>
      <c r="C55" s="40" t="s">
        <v>279</v>
      </c>
      <c r="D55" s="40" t="s">
        <v>279</v>
      </c>
      <c r="E55" s="20" t="s">
        <v>364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276</v>
      </c>
      <c r="B56" s="20" t="s">
        <v>1220</v>
      </c>
      <c r="C56" s="40" t="s">
        <v>279</v>
      </c>
      <c r="D56" s="40" t="s">
        <v>279</v>
      </c>
      <c r="E56" s="40" t="s">
        <v>364</v>
      </c>
      <c r="F56" s="40" t="s">
        <v>642</v>
      </c>
      <c r="G56" s="6">
        <f>G55</f>
        <v>25</v>
      </c>
      <c r="H56" s="6">
        <f>H55</f>
        <v>25</v>
      </c>
    </row>
    <row r="57" spans="1:8" ht="47.25" x14ac:dyDescent="0.25">
      <c r="A57" s="58" t="s">
        <v>643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974</v>
      </c>
      <c r="B58" s="24" t="s">
        <v>973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973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973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867</v>
      </c>
      <c r="B61" s="20" t="s">
        <v>975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975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975</v>
      </c>
      <c r="C63" s="40" t="s">
        <v>259</v>
      </c>
      <c r="D63" s="40" t="s">
        <v>230</v>
      </c>
      <c r="E63" s="40" t="s">
        <v>266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276</v>
      </c>
      <c r="B64" s="20" t="s">
        <v>975</v>
      </c>
      <c r="C64" s="40" t="s">
        <v>259</v>
      </c>
      <c r="D64" s="40" t="s">
        <v>230</v>
      </c>
      <c r="E64" s="40" t="s">
        <v>266</v>
      </c>
      <c r="F64" s="40" t="s">
        <v>642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644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1146</v>
      </c>
      <c r="B66" s="24" t="s">
        <v>976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976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976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977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977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977</v>
      </c>
      <c r="C71" s="40" t="s">
        <v>259</v>
      </c>
      <c r="D71" s="40" t="s">
        <v>230</v>
      </c>
      <c r="E71" s="40" t="s">
        <v>364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276</v>
      </c>
      <c r="B72" s="20" t="s">
        <v>977</v>
      </c>
      <c r="C72" s="40" t="s">
        <v>259</v>
      </c>
      <c r="D72" s="40" t="s">
        <v>230</v>
      </c>
      <c r="E72" s="40" t="s">
        <v>364</v>
      </c>
      <c r="F72" s="40" t="s">
        <v>642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646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1203</v>
      </c>
      <c r="B74" s="24" t="s">
        <v>979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979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979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1204</v>
      </c>
      <c r="B77" s="20" t="s">
        <v>980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980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980</v>
      </c>
      <c r="C79" s="40" t="s">
        <v>259</v>
      </c>
      <c r="D79" s="40" t="s">
        <v>230</v>
      </c>
      <c r="E79" s="40" t="s">
        <v>364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276</v>
      </c>
      <c r="B80" s="20" t="s">
        <v>980</v>
      </c>
      <c r="C80" s="40" t="s">
        <v>259</v>
      </c>
      <c r="D80" s="40" t="s">
        <v>230</v>
      </c>
      <c r="E80" s="40" t="s">
        <v>364</v>
      </c>
      <c r="F80" s="40" t="s">
        <v>642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978</v>
      </c>
      <c r="B81" s="24" t="s">
        <v>981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981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981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1147</v>
      </c>
      <c r="B84" s="20" t="s">
        <v>982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982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982</v>
      </c>
      <c r="C86" s="40" t="s">
        <v>259</v>
      </c>
      <c r="D86" s="40" t="s">
        <v>230</v>
      </c>
      <c r="E86" s="40" t="s">
        <v>149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276</v>
      </c>
      <c r="B87" s="20" t="s">
        <v>982</v>
      </c>
      <c r="C87" s="40" t="s">
        <v>259</v>
      </c>
      <c r="D87" s="40" t="s">
        <v>230</v>
      </c>
      <c r="E87" s="40" t="s">
        <v>149</v>
      </c>
      <c r="F87" s="40" t="s">
        <v>642</v>
      </c>
      <c r="G87" s="10">
        <f>G86</f>
        <v>270</v>
      </c>
      <c r="H87" s="10">
        <f>H86</f>
        <v>270</v>
      </c>
    </row>
    <row r="88" spans="1:8" s="210" customFormat="1" ht="31.5" x14ac:dyDescent="0.25">
      <c r="A88" s="25" t="s">
        <v>263</v>
      </c>
      <c r="B88" s="20" t="s">
        <v>982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10" customFormat="1" ht="31.5" x14ac:dyDescent="0.25">
      <c r="A89" s="25" t="s">
        <v>363</v>
      </c>
      <c r="B89" s="20" t="s">
        <v>982</v>
      </c>
      <c r="C89" s="40" t="s">
        <v>259</v>
      </c>
      <c r="D89" s="40" t="s">
        <v>230</v>
      </c>
      <c r="E89" s="40" t="s">
        <v>364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10" customFormat="1" ht="47.25" x14ac:dyDescent="0.25">
      <c r="A90" s="45" t="s">
        <v>276</v>
      </c>
      <c r="B90" s="20" t="s">
        <v>982</v>
      </c>
      <c r="C90" s="40" t="s">
        <v>259</v>
      </c>
      <c r="D90" s="40" t="s">
        <v>230</v>
      </c>
      <c r="E90" s="40" t="s">
        <v>364</v>
      </c>
      <c r="F90" s="40" t="s">
        <v>642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648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1206</v>
      </c>
      <c r="B92" s="24" t="s">
        <v>984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984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984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1205</v>
      </c>
      <c r="B95" s="20" t="s">
        <v>983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983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983</v>
      </c>
      <c r="C97" s="40" t="s">
        <v>259</v>
      </c>
      <c r="D97" s="40" t="s">
        <v>230</v>
      </c>
      <c r="E97" s="40" t="s">
        <v>364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276</v>
      </c>
      <c r="B98" s="20" t="s">
        <v>983</v>
      </c>
      <c r="C98" s="40" t="s">
        <v>259</v>
      </c>
      <c r="D98" s="40" t="s">
        <v>230</v>
      </c>
      <c r="E98" s="40" t="s">
        <v>364</v>
      </c>
      <c r="F98" s="40" t="s">
        <v>642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238.5</v>
      </c>
      <c r="H99" s="59" t="e">
        <f t="shared" si="18"/>
        <v>#REF!</v>
      </c>
    </row>
    <row r="100" spans="1:8" ht="31.5" x14ac:dyDescent="0.25">
      <c r="A100" s="23" t="s">
        <v>1145</v>
      </c>
      <c r="B100" s="24" t="s">
        <v>964</v>
      </c>
      <c r="C100" s="7"/>
      <c r="D100" s="7"/>
      <c r="E100" s="7"/>
      <c r="F100" s="7"/>
      <c r="G100" s="59">
        <f t="shared" ref="G100:H102" si="19">G101</f>
        <v>238.5</v>
      </c>
      <c r="H100" s="59" t="e">
        <f t="shared" si="19"/>
        <v>#REF!</v>
      </c>
    </row>
    <row r="101" spans="1:8" ht="15.75" x14ac:dyDescent="0.25">
      <c r="A101" s="45" t="s">
        <v>313</v>
      </c>
      <c r="B101" s="40" t="s">
        <v>964</v>
      </c>
      <c r="C101" s="40" t="s">
        <v>314</v>
      </c>
      <c r="D101" s="40"/>
      <c r="E101" s="40"/>
      <c r="F101" s="40"/>
      <c r="G101" s="10">
        <f t="shared" si="19"/>
        <v>238.5</v>
      </c>
      <c r="H101" s="10" t="e">
        <f t="shared" si="19"/>
        <v>#REF!</v>
      </c>
    </row>
    <row r="102" spans="1:8" ht="31.5" x14ac:dyDescent="0.25">
      <c r="A102" s="45" t="s">
        <v>348</v>
      </c>
      <c r="B102" s="40" t="s">
        <v>964</v>
      </c>
      <c r="C102" s="40" t="s">
        <v>314</v>
      </c>
      <c r="D102" s="40" t="s">
        <v>165</v>
      </c>
      <c r="E102" s="40"/>
      <c r="F102" s="40"/>
      <c r="G102" s="10">
        <f t="shared" si="19"/>
        <v>238.5</v>
      </c>
      <c r="H102" s="10" t="e">
        <f t="shared" si="19"/>
        <v>#REF!</v>
      </c>
    </row>
    <row r="103" spans="1:8" ht="31.5" x14ac:dyDescent="0.25">
      <c r="A103" s="29" t="s">
        <v>172</v>
      </c>
      <c r="B103" s="20" t="s">
        <v>1221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238.5</v>
      </c>
      <c r="H103" s="10" t="e">
        <f t="shared" si="20"/>
        <v>#REF!</v>
      </c>
    </row>
    <row r="104" spans="1:8" ht="31.5" x14ac:dyDescent="0.25">
      <c r="A104" s="29" t="s">
        <v>146</v>
      </c>
      <c r="B104" s="20" t="s">
        <v>1221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238.5</v>
      </c>
      <c r="H104" s="10" t="e">
        <f t="shared" si="20"/>
        <v>#REF!</v>
      </c>
    </row>
    <row r="105" spans="1:8" ht="47.25" x14ac:dyDescent="0.25">
      <c r="A105" s="29" t="s">
        <v>148</v>
      </c>
      <c r="B105" s="20" t="s">
        <v>1221</v>
      </c>
      <c r="C105" s="40" t="s">
        <v>314</v>
      </c>
      <c r="D105" s="40" t="s">
        <v>165</v>
      </c>
      <c r="E105" s="40" t="s">
        <v>149</v>
      </c>
      <c r="F105" s="40"/>
      <c r="G105" s="10">
        <f>'Пр.4 ведом.20'!G471</f>
        <v>238.5</v>
      </c>
      <c r="H105" s="10" t="e">
        <f>'Пр.4 ведом.20'!#REF!</f>
        <v>#REF!</v>
      </c>
    </row>
    <row r="106" spans="1:8" ht="47.25" x14ac:dyDescent="0.25">
      <c r="A106" s="45" t="s">
        <v>276</v>
      </c>
      <c r="B106" s="20" t="s">
        <v>1221</v>
      </c>
      <c r="C106" s="40" t="s">
        <v>314</v>
      </c>
      <c r="D106" s="40" t="s">
        <v>165</v>
      </c>
      <c r="E106" s="40" t="s">
        <v>149</v>
      </c>
      <c r="F106" s="40" t="s">
        <v>642</v>
      </c>
      <c r="G106" s="10">
        <f>G105</f>
        <v>238.5</v>
      </c>
      <c r="H106" s="10" t="e">
        <f>H105</f>
        <v>#REF!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20" t="s">
        <v>1209</v>
      </c>
      <c r="B108" s="24" t="s">
        <v>935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935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935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1210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1210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1210</v>
      </c>
      <c r="C113" s="40" t="s">
        <v>165</v>
      </c>
      <c r="D113" s="40" t="s">
        <v>253</v>
      </c>
      <c r="E113" s="40" t="s">
        <v>266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276</v>
      </c>
      <c r="B114" s="20" t="s">
        <v>1210</v>
      </c>
      <c r="C114" s="40" t="s">
        <v>165</v>
      </c>
      <c r="D114" s="40" t="s">
        <v>253</v>
      </c>
      <c r="E114" s="40" t="s">
        <v>266</v>
      </c>
      <c r="F114" s="40" t="s">
        <v>642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1211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1211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1211</v>
      </c>
      <c r="C117" s="40" t="s">
        <v>165</v>
      </c>
      <c r="D117" s="40" t="s">
        <v>253</v>
      </c>
      <c r="E117" s="40" t="s">
        <v>266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276</v>
      </c>
      <c r="B118" s="20" t="s">
        <v>1211</v>
      </c>
      <c r="C118" s="40" t="s">
        <v>165</v>
      </c>
      <c r="D118" s="40" t="s">
        <v>253</v>
      </c>
      <c r="E118" s="40" t="s">
        <v>266</v>
      </c>
      <c r="F118" s="40" t="s">
        <v>642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1207</v>
      </c>
      <c r="B119" s="24" t="s">
        <v>936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936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936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1208</v>
      </c>
      <c r="B122" s="20" t="s">
        <v>1212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1212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1286</v>
      </c>
      <c r="B124" s="20" t="s">
        <v>1212</v>
      </c>
      <c r="C124" s="40" t="s">
        <v>165</v>
      </c>
      <c r="D124" s="40" t="s">
        <v>253</v>
      </c>
      <c r="E124" s="40" t="s">
        <v>387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276</v>
      </c>
      <c r="B125" s="20" t="s">
        <v>1212</v>
      </c>
      <c r="C125" s="40" t="s">
        <v>165</v>
      </c>
      <c r="D125" s="40" t="s">
        <v>253</v>
      </c>
      <c r="E125" s="40" t="s">
        <v>387</v>
      </c>
      <c r="F125" s="40" t="s">
        <v>642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1213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1213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1286</v>
      </c>
      <c r="B128" s="20" t="s">
        <v>1213</v>
      </c>
      <c r="C128" s="40" t="s">
        <v>165</v>
      </c>
      <c r="D128" s="40" t="s">
        <v>253</v>
      </c>
      <c r="E128" s="40" t="s">
        <v>387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276</v>
      </c>
      <c r="B129" s="20" t="s">
        <v>1213</v>
      </c>
      <c r="C129" s="40" t="s">
        <v>165</v>
      </c>
      <c r="D129" s="40" t="s">
        <v>253</v>
      </c>
      <c r="E129" s="40" t="s">
        <v>387</v>
      </c>
      <c r="F129" s="40" t="s">
        <v>642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1143</v>
      </c>
      <c r="B130" s="24" t="s">
        <v>937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937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937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61" t="s">
        <v>1216</v>
      </c>
      <c r="B133" s="20" t="s">
        <v>1214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1214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1214</v>
      </c>
      <c r="C135" s="40" t="s">
        <v>165</v>
      </c>
      <c r="D135" s="40" t="s">
        <v>253</v>
      </c>
      <c r="E135" s="40" t="s">
        <v>149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276</v>
      </c>
      <c r="B136" s="20" t="s">
        <v>1214</v>
      </c>
      <c r="C136" s="40" t="s">
        <v>165</v>
      </c>
      <c r="D136" s="40" t="s">
        <v>253</v>
      </c>
      <c r="E136" s="40" t="s">
        <v>149</v>
      </c>
      <c r="F136" s="9" t="s">
        <v>642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1215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1215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1215</v>
      </c>
      <c r="C139" s="40" t="s">
        <v>165</v>
      </c>
      <c r="D139" s="40" t="s">
        <v>253</v>
      </c>
      <c r="E139" s="40" t="s">
        <v>149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276</v>
      </c>
      <c r="B140" s="20" t="s">
        <v>1215</v>
      </c>
      <c r="C140" s="40" t="s">
        <v>165</v>
      </c>
      <c r="D140" s="40" t="s">
        <v>253</v>
      </c>
      <c r="E140" s="40" t="s">
        <v>149</v>
      </c>
      <c r="F140" s="9" t="s">
        <v>642</v>
      </c>
      <c r="G140" s="10">
        <f>G139</f>
        <v>0</v>
      </c>
      <c r="H140" s="10">
        <f>H139</f>
        <v>0</v>
      </c>
    </row>
    <row r="141" spans="1:8" s="210" customFormat="1" ht="47.25" x14ac:dyDescent="0.25">
      <c r="A141" s="217" t="s">
        <v>1304</v>
      </c>
      <c r="B141" s="24" t="s">
        <v>1303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10" customFormat="1" ht="15.75" x14ac:dyDescent="0.25">
      <c r="A142" s="45" t="s">
        <v>247</v>
      </c>
      <c r="B142" s="40" t="s">
        <v>1303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10" customFormat="1" ht="31.5" x14ac:dyDescent="0.25">
      <c r="A143" s="45" t="s">
        <v>252</v>
      </c>
      <c r="B143" s="40" t="s">
        <v>1303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10" customFormat="1" ht="31.5" x14ac:dyDescent="0.25">
      <c r="A144" s="239" t="s">
        <v>1305</v>
      </c>
      <c r="B144" s="20" t="s">
        <v>1352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10" customFormat="1" ht="31.5" x14ac:dyDescent="0.25">
      <c r="A145" s="25" t="s">
        <v>146</v>
      </c>
      <c r="B145" s="20" t="s">
        <v>1352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10" customFormat="1" ht="47.25" x14ac:dyDescent="0.25">
      <c r="A146" s="25" t="s">
        <v>148</v>
      </c>
      <c r="B146" s="20" t="s">
        <v>1352</v>
      </c>
      <c r="C146" s="40" t="s">
        <v>165</v>
      </c>
      <c r="D146" s="40" t="s">
        <v>253</v>
      </c>
      <c r="E146" s="40" t="s">
        <v>149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10" customFormat="1" ht="47.25" x14ac:dyDescent="0.25">
      <c r="A147" s="45" t="s">
        <v>276</v>
      </c>
      <c r="B147" s="20" t="s">
        <v>1352</v>
      </c>
      <c r="C147" s="40" t="s">
        <v>165</v>
      </c>
      <c r="D147" s="40" t="s">
        <v>253</v>
      </c>
      <c r="E147" s="40" t="s">
        <v>149</v>
      </c>
      <c r="F147" s="9" t="s">
        <v>642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59" t="s">
        <v>1217</v>
      </c>
      <c r="B149" s="7" t="s">
        <v>931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931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931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1218</v>
      </c>
      <c r="B152" s="40" t="s">
        <v>932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932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932</v>
      </c>
      <c r="C154" s="40" t="s">
        <v>133</v>
      </c>
      <c r="D154" s="40" t="s">
        <v>155</v>
      </c>
      <c r="E154" s="40" t="s">
        <v>149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276</v>
      </c>
      <c r="B155" s="40" t="s">
        <v>932</v>
      </c>
      <c r="C155" s="40" t="s">
        <v>133</v>
      </c>
      <c r="D155" s="40" t="s">
        <v>155</v>
      </c>
      <c r="E155" s="40" t="s">
        <v>149</v>
      </c>
      <c r="F155" s="9" t="s">
        <v>642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934</v>
      </c>
      <c r="B156" s="20" t="s">
        <v>933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933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933</v>
      </c>
      <c r="C158" s="40" t="s">
        <v>133</v>
      </c>
      <c r="D158" s="40" t="s">
        <v>155</v>
      </c>
      <c r="E158" s="40" t="s">
        <v>149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276</v>
      </c>
      <c r="B159" s="20" t="s">
        <v>933</v>
      </c>
      <c r="C159" s="40" t="s">
        <v>133</v>
      </c>
      <c r="D159" s="40" t="s">
        <v>155</v>
      </c>
      <c r="E159" s="40" t="s">
        <v>149</v>
      </c>
      <c r="F159" s="9" t="s">
        <v>642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G161+G260+G313+G373+G381</f>
        <v>342914.88</v>
      </c>
      <c r="H160" s="59">
        <f>H161+H260+H313+H373+H381</f>
        <v>342923.38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1026</v>
      </c>
      <c r="B162" s="24" t="s">
        <v>1004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1004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1004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1061</v>
      </c>
      <c r="B165" s="20" t="s">
        <v>1060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1060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1060</v>
      </c>
      <c r="C167" s="40" t="s">
        <v>279</v>
      </c>
      <c r="D167" s="40" t="s">
        <v>133</v>
      </c>
      <c r="E167" s="40" t="s">
        <v>290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418</v>
      </c>
      <c r="B168" s="20" t="s">
        <v>1060</v>
      </c>
      <c r="C168" s="40" t="s">
        <v>279</v>
      </c>
      <c r="D168" s="40" t="s">
        <v>133</v>
      </c>
      <c r="E168" s="40" t="s">
        <v>290</v>
      </c>
      <c r="F168" s="40" t="s">
        <v>651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1236</v>
      </c>
      <c r="B169" s="20" t="s">
        <v>1062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1062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1062</v>
      </c>
      <c r="C171" s="40" t="s">
        <v>279</v>
      </c>
      <c r="D171" s="40" t="s">
        <v>133</v>
      </c>
      <c r="E171" s="40" t="s">
        <v>290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418</v>
      </c>
      <c r="B172" s="20" t="s">
        <v>1062</v>
      </c>
      <c r="C172" s="40" t="s">
        <v>279</v>
      </c>
      <c r="D172" s="40" t="s">
        <v>133</v>
      </c>
      <c r="E172" s="40" t="s">
        <v>290</v>
      </c>
      <c r="F172" s="40" t="s">
        <v>651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1004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1066</v>
      </c>
      <c r="B174" s="20" t="s">
        <v>1063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1063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1063</v>
      </c>
      <c r="C176" s="40" t="s">
        <v>279</v>
      </c>
      <c r="D176" s="40" t="s">
        <v>228</v>
      </c>
      <c r="E176" s="40" t="s">
        <v>290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418</v>
      </c>
      <c r="B177" s="20" t="s">
        <v>1063</v>
      </c>
      <c r="C177" s="40" t="s">
        <v>279</v>
      </c>
      <c r="D177" s="40" t="s">
        <v>228</v>
      </c>
      <c r="E177" s="40" t="s">
        <v>290</v>
      </c>
      <c r="F177" s="40" t="s">
        <v>651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1067</v>
      </c>
      <c r="B178" s="20" t="s">
        <v>1064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1064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1064</v>
      </c>
      <c r="C180" s="40" t="s">
        <v>279</v>
      </c>
      <c r="D180" s="40" t="s">
        <v>228</v>
      </c>
      <c r="E180" s="40" t="s">
        <v>290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418</v>
      </c>
      <c r="B181" s="20" t="s">
        <v>1064</v>
      </c>
      <c r="C181" s="40" t="s">
        <v>279</v>
      </c>
      <c r="D181" s="40" t="s">
        <v>228</v>
      </c>
      <c r="E181" s="40" t="s">
        <v>290</v>
      </c>
      <c r="F181" s="40" t="s">
        <v>651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1068</v>
      </c>
      <c r="B182" s="20" t="s">
        <v>1065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1065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1065</v>
      </c>
      <c r="C184" s="40" t="s">
        <v>279</v>
      </c>
      <c r="D184" s="40" t="s">
        <v>228</v>
      </c>
      <c r="E184" s="40" t="s">
        <v>290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418</v>
      </c>
      <c r="B185" s="20" t="s">
        <v>1065</v>
      </c>
      <c r="C185" s="40" t="s">
        <v>279</v>
      </c>
      <c r="D185" s="40" t="s">
        <v>228</v>
      </c>
      <c r="E185" s="40" t="s">
        <v>290</v>
      </c>
      <c r="F185" s="40" t="s">
        <v>651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1004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1049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1049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1049</v>
      </c>
      <c r="C189" s="40" t="s">
        <v>279</v>
      </c>
      <c r="D189" s="40" t="s">
        <v>230</v>
      </c>
      <c r="E189" s="40" t="s">
        <v>290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418</v>
      </c>
      <c r="B190" s="20" t="s">
        <v>1049</v>
      </c>
      <c r="C190" s="40" t="s">
        <v>279</v>
      </c>
      <c r="D190" s="40" t="s">
        <v>230</v>
      </c>
      <c r="E190" s="40" t="s">
        <v>290</v>
      </c>
      <c r="F190" s="40" t="s">
        <v>651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969</v>
      </c>
      <c r="B191" s="24" t="s">
        <v>1019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278</v>
      </c>
      <c r="B192" s="40" t="s">
        <v>1019</v>
      </c>
      <c r="C192" s="40" t="s">
        <v>279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419</v>
      </c>
      <c r="B193" s="40" t="s">
        <v>1019</v>
      </c>
      <c r="C193" s="40" t="s">
        <v>279</v>
      </c>
      <c r="D193" s="40" t="s">
        <v>133</v>
      </c>
      <c r="E193" s="40"/>
      <c r="F193" s="40"/>
      <c r="G193" s="10">
        <f>G198+G202+G206+G210+G194</f>
        <v>85840.5</v>
      </c>
      <c r="H193" s="313">
        <f>H198+H202+H206+H210+H194</f>
        <v>85840.5</v>
      </c>
    </row>
    <row r="194" spans="1:8" s="309" customFormat="1" ht="110.25" x14ac:dyDescent="0.25">
      <c r="A194" s="31" t="s">
        <v>308</v>
      </c>
      <c r="B194" s="316" t="s">
        <v>1507</v>
      </c>
      <c r="C194" s="324" t="s">
        <v>279</v>
      </c>
      <c r="D194" s="324" t="s">
        <v>133</v>
      </c>
      <c r="E194" s="324"/>
      <c r="F194" s="324"/>
      <c r="G194" s="313">
        <f>G195</f>
        <v>2916.1</v>
      </c>
      <c r="H194" s="313">
        <f>H195</f>
        <v>2916.1</v>
      </c>
    </row>
    <row r="195" spans="1:8" s="309" customFormat="1" ht="47.25" x14ac:dyDescent="0.25">
      <c r="A195" s="320" t="s">
        <v>287</v>
      </c>
      <c r="B195" s="316" t="s">
        <v>1507</v>
      </c>
      <c r="C195" s="324" t="s">
        <v>279</v>
      </c>
      <c r="D195" s="324" t="s">
        <v>133</v>
      </c>
      <c r="E195" s="324" t="s">
        <v>288</v>
      </c>
      <c r="F195" s="324"/>
      <c r="G195" s="313">
        <f>G196</f>
        <v>2916.1</v>
      </c>
      <c r="H195" s="313">
        <f>H196</f>
        <v>2916.1</v>
      </c>
    </row>
    <row r="196" spans="1:8" s="309" customFormat="1" ht="15.75" x14ac:dyDescent="0.25">
      <c r="A196" s="320" t="s">
        <v>289</v>
      </c>
      <c r="B196" s="316" t="s">
        <v>1507</v>
      </c>
      <c r="C196" s="324" t="s">
        <v>279</v>
      </c>
      <c r="D196" s="324" t="s">
        <v>133</v>
      </c>
      <c r="E196" s="324" t="s">
        <v>290</v>
      </c>
      <c r="F196" s="324"/>
      <c r="G196" s="313">
        <f>'пр.5.1.ведом.21-22'!G560</f>
        <v>2916.1</v>
      </c>
      <c r="H196" s="313">
        <f>'пр.5.1.ведом.21-22'!H560</f>
        <v>2916.1</v>
      </c>
    </row>
    <row r="197" spans="1:8" s="309" customFormat="1" ht="31.5" x14ac:dyDescent="0.25">
      <c r="A197" s="323" t="s">
        <v>418</v>
      </c>
      <c r="B197" s="316" t="s">
        <v>1507</v>
      </c>
      <c r="C197" s="324" t="s">
        <v>279</v>
      </c>
      <c r="D197" s="324" t="s">
        <v>133</v>
      </c>
      <c r="E197" s="324" t="s">
        <v>290</v>
      </c>
      <c r="F197" s="324" t="s">
        <v>651</v>
      </c>
      <c r="G197" s="313">
        <f>G194</f>
        <v>2916.1</v>
      </c>
      <c r="H197" s="313">
        <f>H194</f>
        <v>2916.1</v>
      </c>
    </row>
    <row r="198" spans="1:8" ht="78.75" x14ac:dyDescent="0.25">
      <c r="A198" s="31" t="s">
        <v>304</v>
      </c>
      <c r="B198" s="20" t="s">
        <v>1018</v>
      </c>
      <c r="C198" s="40" t="s">
        <v>279</v>
      </c>
      <c r="D198" s="40" t="s">
        <v>133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287</v>
      </c>
      <c r="B199" s="20" t="s">
        <v>1018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289</v>
      </c>
      <c r="B200" s="20" t="s">
        <v>1018</v>
      </c>
      <c r="C200" s="40" t="s">
        <v>279</v>
      </c>
      <c r="D200" s="40" t="s">
        <v>133</v>
      </c>
      <c r="E200" s="40" t="s">
        <v>290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418</v>
      </c>
      <c r="B201" s="20" t="s">
        <v>1018</v>
      </c>
      <c r="C201" s="40" t="s">
        <v>279</v>
      </c>
      <c r="D201" s="40" t="s">
        <v>133</v>
      </c>
      <c r="E201" s="40" t="s">
        <v>290</v>
      </c>
      <c r="F201" s="40" t="s">
        <v>651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435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651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436</v>
      </c>
      <c r="B206" s="20" t="s">
        <v>1020</v>
      </c>
      <c r="C206" s="40" t="s">
        <v>279</v>
      </c>
      <c r="D206" s="40" t="s">
        <v>133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287</v>
      </c>
      <c r="B207" s="20" t="s">
        <v>1020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289</v>
      </c>
      <c r="B208" s="20" t="s">
        <v>1020</v>
      </c>
      <c r="C208" s="40" t="s">
        <v>279</v>
      </c>
      <c r="D208" s="40" t="s">
        <v>133</v>
      </c>
      <c r="E208" s="40" t="s">
        <v>290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418</v>
      </c>
      <c r="B209" s="20" t="s">
        <v>1020</v>
      </c>
      <c r="C209" s="40" t="s">
        <v>279</v>
      </c>
      <c r="D209" s="40" t="s">
        <v>133</v>
      </c>
      <c r="E209" s="40" t="s">
        <v>290</v>
      </c>
      <c r="F209" s="40" t="s">
        <v>651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308</v>
      </c>
      <c r="B210" s="20" t="s">
        <v>1022</v>
      </c>
      <c r="C210" s="40" t="s">
        <v>279</v>
      </c>
      <c r="D210" s="40" t="s">
        <v>133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287</v>
      </c>
      <c r="B211" s="20" t="s">
        <v>1022</v>
      </c>
      <c r="C211" s="40" t="s">
        <v>279</v>
      </c>
      <c r="D211" s="40" t="s">
        <v>133</v>
      </c>
      <c r="E211" s="40" t="s">
        <v>288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289</v>
      </c>
      <c r="B212" s="20" t="s">
        <v>1022</v>
      </c>
      <c r="C212" s="40" t="s">
        <v>279</v>
      </c>
      <c r="D212" s="40" t="s">
        <v>133</v>
      </c>
      <c r="E212" s="40" t="s">
        <v>290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418</v>
      </c>
      <c r="B213" s="20" t="s">
        <v>1022</v>
      </c>
      <c r="C213" s="40" t="s">
        <v>279</v>
      </c>
      <c r="D213" s="40" t="s">
        <v>133</v>
      </c>
      <c r="E213" s="40" t="s">
        <v>290</v>
      </c>
      <c r="F213" s="40" t="s">
        <v>651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440</v>
      </c>
      <c r="B214" s="40" t="s">
        <v>1019</v>
      </c>
      <c r="C214" s="40" t="s">
        <v>279</v>
      </c>
      <c r="D214" s="40" t="s">
        <v>228</v>
      </c>
      <c r="E214" s="40"/>
      <c r="F214" s="40"/>
      <c r="G214" s="10">
        <f>G223+G227+G231+G235+G239+G219+G215</f>
        <v>155073.30000000002</v>
      </c>
      <c r="H214" s="313">
        <f>H223+H227+H231+H235+H239+H219+H215</f>
        <v>155073.30000000002</v>
      </c>
    </row>
    <row r="215" spans="1:8" s="309" customFormat="1" ht="78.75" x14ac:dyDescent="0.25">
      <c r="A215" s="320" t="s">
        <v>1515</v>
      </c>
      <c r="B215" s="316" t="s">
        <v>1516</v>
      </c>
      <c r="C215" s="324" t="s">
        <v>279</v>
      </c>
      <c r="D215" s="324" t="s">
        <v>228</v>
      </c>
      <c r="E215" s="324"/>
      <c r="F215" s="324"/>
      <c r="G215" s="313">
        <f>G216</f>
        <v>2636.6</v>
      </c>
      <c r="H215" s="313">
        <f>H216</f>
        <v>2636.6</v>
      </c>
    </row>
    <row r="216" spans="1:8" s="309" customFormat="1" ht="47.25" x14ac:dyDescent="0.25">
      <c r="A216" s="320" t="s">
        <v>287</v>
      </c>
      <c r="B216" s="316" t="s">
        <v>1516</v>
      </c>
      <c r="C216" s="324" t="s">
        <v>279</v>
      </c>
      <c r="D216" s="324" t="s">
        <v>228</v>
      </c>
      <c r="E216" s="324" t="s">
        <v>288</v>
      </c>
      <c r="F216" s="324"/>
      <c r="G216" s="313">
        <f>G217</f>
        <v>2636.6</v>
      </c>
      <c r="H216" s="313">
        <f>H217</f>
        <v>2636.6</v>
      </c>
    </row>
    <row r="217" spans="1:8" s="309" customFormat="1" ht="15.75" x14ac:dyDescent="0.25">
      <c r="A217" s="320" t="s">
        <v>289</v>
      </c>
      <c r="B217" s="316" t="s">
        <v>1516</v>
      </c>
      <c r="C217" s="324" t="s">
        <v>279</v>
      </c>
      <c r="D217" s="324" t="s">
        <v>228</v>
      </c>
      <c r="E217" s="324" t="s">
        <v>290</v>
      </c>
      <c r="F217" s="324"/>
      <c r="G217" s="313">
        <f>'пр.5.1.ведом.21-22'!G634</f>
        <v>2636.6</v>
      </c>
      <c r="H217" s="313">
        <f>'пр.5.1.ведом.21-22'!H634</f>
        <v>2636.6</v>
      </c>
    </row>
    <row r="218" spans="1:8" s="309" customFormat="1" ht="31.5" x14ac:dyDescent="0.25">
      <c r="A218" s="323" t="s">
        <v>418</v>
      </c>
      <c r="B218" s="316" t="s">
        <v>1516</v>
      </c>
      <c r="C218" s="324" t="s">
        <v>279</v>
      </c>
      <c r="D218" s="324" t="s">
        <v>228</v>
      </c>
      <c r="E218" s="324" t="s">
        <v>290</v>
      </c>
      <c r="F218" s="324" t="s">
        <v>651</v>
      </c>
      <c r="G218" s="313">
        <f>G215</f>
        <v>2636.6</v>
      </c>
      <c r="H218" s="313">
        <f>H215</f>
        <v>2636.6</v>
      </c>
    </row>
    <row r="219" spans="1:8" s="309" customFormat="1" ht="110.25" x14ac:dyDescent="0.25">
      <c r="A219" s="31" t="s">
        <v>479</v>
      </c>
      <c r="B219" s="316" t="s">
        <v>1507</v>
      </c>
      <c r="C219" s="324" t="s">
        <v>279</v>
      </c>
      <c r="D219" s="324" t="s">
        <v>228</v>
      </c>
      <c r="E219" s="324"/>
      <c r="F219" s="324"/>
      <c r="G219" s="313">
        <f>G220</f>
        <v>4841</v>
      </c>
      <c r="H219" s="313">
        <f>H220</f>
        <v>4841</v>
      </c>
    </row>
    <row r="220" spans="1:8" s="309" customFormat="1" ht="47.25" x14ac:dyDescent="0.25">
      <c r="A220" s="320" t="s">
        <v>287</v>
      </c>
      <c r="B220" s="316" t="s">
        <v>1507</v>
      </c>
      <c r="C220" s="324" t="s">
        <v>279</v>
      </c>
      <c r="D220" s="324" t="s">
        <v>228</v>
      </c>
      <c r="E220" s="324" t="s">
        <v>288</v>
      </c>
      <c r="F220" s="324"/>
      <c r="G220" s="313">
        <f>G221</f>
        <v>4841</v>
      </c>
      <c r="H220" s="313">
        <f>H221</f>
        <v>4841</v>
      </c>
    </row>
    <row r="221" spans="1:8" s="309" customFormat="1" ht="15.75" x14ac:dyDescent="0.25">
      <c r="A221" s="320" t="s">
        <v>289</v>
      </c>
      <c r="B221" s="316" t="s">
        <v>1507</v>
      </c>
      <c r="C221" s="324" t="s">
        <v>279</v>
      </c>
      <c r="D221" s="324" t="s">
        <v>228</v>
      </c>
      <c r="E221" s="324" t="s">
        <v>290</v>
      </c>
      <c r="F221" s="324"/>
      <c r="G221" s="313">
        <f>'пр.5.1.ведом.21-22'!G637</f>
        <v>4841</v>
      </c>
      <c r="H221" s="313">
        <f>'пр.5.1.ведом.21-22'!H637</f>
        <v>4841</v>
      </c>
    </row>
    <row r="222" spans="1:8" s="309" customFormat="1" ht="31.5" x14ac:dyDescent="0.25">
      <c r="A222" s="323" t="s">
        <v>418</v>
      </c>
      <c r="B222" s="316" t="s">
        <v>1507</v>
      </c>
      <c r="C222" s="324" t="s">
        <v>279</v>
      </c>
      <c r="D222" s="324" t="s">
        <v>228</v>
      </c>
      <c r="E222" s="324" t="s">
        <v>290</v>
      </c>
      <c r="F222" s="324" t="s">
        <v>651</v>
      </c>
      <c r="G222" s="313">
        <f>G219</f>
        <v>4841</v>
      </c>
      <c r="H222" s="313">
        <f>H219</f>
        <v>4841</v>
      </c>
    </row>
    <row r="223" spans="1:8" ht="94.5" x14ac:dyDescent="0.25">
      <c r="A223" s="31" t="s">
        <v>475</v>
      </c>
      <c r="B223" s="20" t="s">
        <v>1047</v>
      </c>
      <c r="C223" s="40" t="s">
        <v>279</v>
      </c>
      <c r="D223" s="40" t="s">
        <v>228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287</v>
      </c>
      <c r="B224" s="20" t="s">
        <v>1047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289</v>
      </c>
      <c r="B225" s="20" t="s">
        <v>1047</v>
      </c>
      <c r="C225" s="40" t="s">
        <v>279</v>
      </c>
      <c r="D225" s="40" t="s">
        <v>228</v>
      </c>
      <c r="E225" s="40" t="s">
        <v>290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418</v>
      </c>
      <c r="B226" s="20" t="s">
        <v>1047</v>
      </c>
      <c r="C226" s="40" t="s">
        <v>279</v>
      </c>
      <c r="D226" s="40" t="s">
        <v>228</v>
      </c>
      <c r="E226" s="40" t="s">
        <v>290</v>
      </c>
      <c r="F226" s="40" t="s">
        <v>651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304</v>
      </c>
      <c r="B227" s="20" t="s">
        <v>1018</v>
      </c>
      <c r="C227" s="40" t="s">
        <v>279</v>
      </c>
      <c r="D227" s="40" t="s">
        <v>228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287</v>
      </c>
      <c r="B228" s="20" t="s">
        <v>1018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289</v>
      </c>
      <c r="B229" s="20" t="s">
        <v>1018</v>
      </c>
      <c r="C229" s="40" t="s">
        <v>279</v>
      </c>
      <c r="D229" s="40" t="s">
        <v>228</v>
      </c>
      <c r="E229" s="40" t="s">
        <v>290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418</v>
      </c>
      <c r="B230" s="20" t="s">
        <v>1018</v>
      </c>
      <c r="C230" s="40" t="s">
        <v>279</v>
      </c>
      <c r="D230" s="40" t="s">
        <v>228</v>
      </c>
      <c r="E230" s="40" t="s">
        <v>290</v>
      </c>
      <c r="F230" s="40" t="s">
        <v>651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306</v>
      </c>
      <c r="B231" s="20" t="s">
        <v>1021</v>
      </c>
      <c r="C231" s="40" t="s">
        <v>279</v>
      </c>
      <c r="D231" s="40" t="s">
        <v>228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287</v>
      </c>
      <c r="B232" s="20" t="s">
        <v>1021</v>
      </c>
      <c r="C232" s="40" t="s">
        <v>279</v>
      </c>
      <c r="D232" s="40" t="s">
        <v>228</v>
      </c>
      <c r="E232" s="40" t="s">
        <v>288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289</v>
      </c>
      <c r="B233" s="20" t="s">
        <v>1021</v>
      </c>
      <c r="C233" s="40" t="s">
        <v>279</v>
      </c>
      <c r="D233" s="40" t="s">
        <v>228</v>
      </c>
      <c r="E233" s="40" t="s">
        <v>290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418</v>
      </c>
      <c r="B234" s="20" t="s">
        <v>1021</v>
      </c>
      <c r="C234" s="40" t="s">
        <v>279</v>
      </c>
      <c r="D234" s="40" t="s">
        <v>228</v>
      </c>
      <c r="E234" s="40" t="s">
        <v>290</v>
      </c>
      <c r="F234" s="40" t="s">
        <v>651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477</v>
      </c>
      <c r="B235" s="20" t="s">
        <v>1048</v>
      </c>
      <c r="C235" s="40" t="s">
        <v>279</v>
      </c>
      <c r="D235" s="40" t="s">
        <v>228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287</v>
      </c>
      <c r="B236" s="20" t="s">
        <v>1048</v>
      </c>
      <c r="C236" s="40" t="s">
        <v>279</v>
      </c>
      <c r="D236" s="40" t="s">
        <v>228</v>
      </c>
      <c r="E236" s="40" t="s">
        <v>288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289</v>
      </c>
      <c r="B237" s="20" t="s">
        <v>1048</v>
      </c>
      <c r="C237" s="40" t="s">
        <v>279</v>
      </c>
      <c r="D237" s="40" t="s">
        <v>228</v>
      </c>
      <c r="E237" s="40" t="s">
        <v>290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418</v>
      </c>
      <c r="B238" s="20" t="s">
        <v>1048</v>
      </c>
      <c r="C238" s="40" t="s">
        <v>279</v>
      </c>
      <c r="D238" s="40" t="s">
        <v>228</v>
      </c>
      <c r="E238" s="40" t="s">
        <v>290</v>
      </c>
      <c r="F238" s="40" t="s">
        <v>651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479</v>
      </c>
      <c r="B239" s="20" t="s">
        <v>1022</v>
      </c>
      <c r="C239" s="40" t="s">
        <v>279</v>
      </c>
      <c r="D239" s="40" t="s">
        <v>228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287</v>
      </c>
      <c r="B240" s="20" t="s">
        <v>1022</v>
      </c>
      <c r="C240" s="40" t="s">
        <v>279</v>
      </c>
      <c r="D240" s="40" t="s">
        <v>228</v>
      </c>
      <c r="E240" s="40" t="s">
        <v>288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289</v>
      </c>
      <c r="B241" s="20" t="s">
        <v>1022</v>
      </c>
      <c r="C241" s="40" t="s">
        <v>279</v>
      </c>
      <c r="D241" s="40" t="s">
        <v>228</v>
      </c>
      <c r="E241" s="40" t="s">
        <v>290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418</v>
      </c>
      <c r="B242" s="20" t="s">
        <v>1022</v>
      </c>
      <c r="C242" s="40" t="s">
        <v>279</v>
      </c>
      <c r="D242" s="40" t="s">
        <v>228</v>
      </c>
      <c r="E242" s="40" t="s">
        <v>290</v>
      </c>
      <c r="F242" s="40" t="s">
        <v>651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280</v>
      </c>
      <c r="B243" s="40" t="s">
        <v>1019</v>
      </c>
      <c r="C243" s="40" t="s">
        <v>279</v>
      </c>
      <c r="D243" s="40" t="s">
        <v>230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09" customFormat="1" ht="110.25" x14ac:dyDescent="0.25">
      <c r="A244" s="31" t="s">
        <v>308</v>
      </c>
      <c r="B244" s="316" t="s">
        <v>1507</v>
      </c>
      <c r="C244" s="324" t="s">
        <v>279</v>
      </c>
      <c r="D244" s="324" t="s">
        <v>230</v>
      </c>
      <c r="E244" s="324"/>
      <c r="F244" s="324"/>
      <c r="G244" s="6">
        <f>G245</f>
        <v>903.4</v>
      </c>
      <c r="H244" s="6">
        <f>H245</f>
        <v>903.4</v>
      </c>
    </row>
    <row r="245" spans="1:8" s="309" customFormat="1" ht="47.25" x14ac:dyDescent="0.25">
      <c r="A245" s="320" t="s">
        <v>287</v>
      </c>
      <c r="B245" s="316" t="s">
        <v>1507</v>
      </c>
      <c r="C245" s="324" t="s">
        <v>279</v>
      </c>
      <c r="D245" s="324" t="s">
        <v>230</v>
      </c>
      <c r="E245" s="324" t="s">
        <v>288</v>
      </c>
      <c r="F245" s="324"/>
      <c r="G245" s="6">
        <f>G246</f>
        <v>903.4</v>
      </c>
      <c r="H245" s="6">
        <f>H246</f>
        <v>903.4</v>
      </c>
    </row>
    <row r="246" spans="1:8" s="309" customFormat="1" ht="15.75" x14ac:dyDescent="0.25">
      <c r="A246" s="320" t="s">
        <v>289</v>
      </c>
      <c r="B246" s="316" t="s">
        <v>1507</v>
      </c>
      <c r="C246" s="324" t="s">
        <v>279</v>
      </c>
      <c r="D246" s="324" t="s">
        <v>230</v>
      </c>
      <c r="E246" s="324" t="s">
        <v>290</v>
      </c>
      <c r="F246" s="324"/>
      <c r="G246" s="6">
        <f>'пр.5.1.ведом.21-22'!G712</f>
        <v>903.4</v>
      </c>
      <c r="H246" s="6">
        <f>'пр.5.1.ведом.21-22'!H712</f>
        <v>903.4</v>
      </c>
    </row>
    <row r="247" spans="1:8" s="309" customFormat="1" ht="31.5" x14ac:dyDescent="0.25">
      <c r="A247" s="323" t="s">
        <v>418</v>
      </c>
      <c r="B247" s="316" t="s">
        <v>1507</v>
      </c>
      <c r="C247" s="324" t="s">
        <v>279</v>
      </c>
      <c r="D247" s="324" t="s">
        <v>230</v>
      </c>
      <c r="E247" s="324" t="s">
        <v>290</v>
      </c>
      <c r="F247" s="324" t="s">
        <v>651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304</v>
      </c>
      <c r="B248" s="20" t="s">
        <v>1018</v>
      </c>
      <c r="C248" s="40" t="s">
        <v>279</v>
      </c>
      <c r="D248" s="40" t="s">
        <v>230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287</v>
      </c>
      <c r="B249" s="20" t="s">
        <v>1018</v>
      </c>
      <c r="C249" s="40" t="s">
        <v>279</v>
      </c>
      <c r="D249" s="40" t="s">
        <v>230</v>
      </c>
      <c r="E249" s="40" t="s">
        <v>288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289</v>
      </c>
      <c r="B250" s="20" t="s">
        <v>1018</v>
      </c>
      <c r="C250" s="40" t="s">
        <v>279</v>
      </c>
      <c r="D250" s="40" t="s">
        <v>230</v>
      </c>
      <c r="E250" s="40" t="s">
        <v>290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418</v>
      </c>
      <c r="B251" s="20" t="s">
        <v>1018</v>
      </c>
      <c r="C251" s="40" t="s">
        <v>279</v>
      </c>
      <c r="D251" s="40" t="s">
        <v>230</v>
      </c>
      <c r="E251" s="40" t="s">
        <v>290</v>
      </c>
      <c r="F251" s="40" t="s">
        <v>651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306</v>
      </c>
      <c r="B252" s="20" t="s">
        <v>1021</v>
      </c>
      <c r="C252" s="40" t="s">
        <v>279</v>
      </c>
      <c r="D252" s="40" t="s">
        <v>230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287</v>
      </c>
      <c r="B253" s="20" t="s">
        <v>1021</v>
      </c>
      <c r="C253" s="40" t="s">
        <v>279</v>
      </c>
      <c r="D253" s="40" t="s">
        <v>230</v>
      </c>
      <c r="E253" s="40" t="s">
        <v>288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289</v>
      </c>
      <c r="B254" s="20" t="s">
        <v>1021</v>
      </c>
      <c r="C254" s="40" t="s">
        <v>279</v>
      </c>
      <c r="D254" s="40" t="s">
        <v>230</v>
      </c>
      <c r="E254" s="40" t="s">
        <v>290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418</v>
      </c>
      <c r="B255" s="20" t="s">
        <v>1021</v>
      </c>
      <c r="C255" s="40" t="s">
        <v>279</v>
      </c>
      <c r="D255" s="40" t="s">
        <v>230</v>
      </c>
      <c r="E255" s="40" t="s">
        <v>290</v>
      </c>
      <c r="F255" s="40" t="s">
        <v>651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308</v>
      </c>
      <c r="B256" s="20" t="s">
        <v>1022</v>
      </c>
      <c r="C256" s="40" t="s">
        <v>279</v>
      </c>
      <c r="D256" s="40" t="s">
        <v>230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287</v>
      </c>
      <c r="B257" s="20" t="s">
        <v>1022</v>
      </c>
      <c r="C257" s="40" t="s">
        <v>279</v>
      </c>
      <c r="D257" s="40" t="s">
        <v>230</v>
      </c>
      <c r="E257" s="40" t="s">
        <v>288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289</v>
      </c>
      <c r="B258" s="20" t="s">
        <v>1022</v>
      </c>
      <c r="C258" s="40" t="s">
        <v>279</v>
      </c>
      <c r="D258" s="40" t="s">
        <v>230</v>
      </c>
      <c r="E258" s="40" t="s">
        <v>290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418</v>
      </c>
      <c r="B259" s="20" t="s">
        <v>1022</v>
      </c>
      <c r="C259" s="40" t="s">
        <v>279</v>
      </c>
      <c r="D259" s="40" t="s">
        <v>230</v>
      </c>
      <c r="E259" s="40" t="s">
        <v>290</v>
      </c>
      <c r="F259" s="40" t="s">
        <v>651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426</v>
      </c>
      <c r="B260" s="7" t="s">
        <v>427</v>
      </c>
      <c r="C260" s="7"/>
      <c r="D260" s="7"/>
      <c r="E260" s="7"/>
      <c r="F260" s="7"/>
      <c r="G260" s="59">
        <f>G261+G276+G291+G302</f>
        <v>11595.880000000001</v>
      </c>
      <c r="H260" s="59">
        <f>H261+H276+H291+H302</f>
        <v>11595.880000000001</v>
      </c>
    </row>
    <row r="261" spans="1:8" ht="31.5" x14ac:dyDescent="0.25">
      <c r="A261" s="23" t="s">
        <v>1005</v>
      </c>
      <c r="B261" s="24" t="s">
        <v>1006</v>
      </c>
      <c r="C261" s="7"/>
      <c r="D261" s="7"/>
      <c r="E261" s="7"/>
      <c r="F261" s="7"/>
      <c r="G261" s="59">
        <f>G262</f>
        <v>4971.3999999999996</v>
      </c>
      <c r="H261" s="59">
        <f>H262</f>
        <v>4971.3999999999996</v>
      </c>
    </row>
    <row r="262" spans="1:8" ht="15.75" x14ac:dyDescent="0.25">
      <c r="A262" s="29" t="s">
        <v>278</v>
      </c>
      <c r="B262" s="40" t="s">
        <v>1006</v>
      </c>
      <c r="C262" s="40" t="s">
        <v>279</v>
      </c>
      <c r="D262" s="40"/>
      <c r="E262" s="40"/>
      <c r="F262" s="40"/>
      <c r="G262" s="10">
        <f t="shared" ref="G262:H262" si="31">G263</f>
        <v>4971.3999999999996</v>
      </c>
      <c r="H262" s="10">
        <f t="shared" si="31"/>
        <v>4971.3999999999996</v>
      </c>
    </row>
    <row r="263" spans="1:8" ht="15.75" x14ac:dyDescent="0.25">
      <c r="A263" s="45" t="s">
        <v>419</v>
      </c>
      <c r="B263" s="40" t="s">
        <v>1006</v>
      </c>
      <c r="C263" s="40" t="s">
        <v>279</v>
      </c>
      <c r="D263" s="40" t="s">
        <v>133</v>
      </c>
      <c r="E263" s="40"/>
      <c r="F263" s="40"/>
      <c r="G263" s="10">
        <f>G264+G268+G272</f>
        <v>4971.3999999999996</v>
      </c>
      <c r="H263" s="10">
        <f>H264+H268+H272</f>
        <v>4971.3999999999996</v>
      </c>
    </row>
    <row r="264" spans="1:8" ht="47.25" hidden="1" x14ac:dyDescent="0.25">
      <c r="A264" s="29" t="s">
        <v>293</v>
      </c>
      <c r="B264" s="20" t="s">
        <v>1007</v>
      </c>
      <c r="C264" s="40" t="s">
        <v>279</v>
      </c>
      <c r="D264" s="40" t="s">
        <v>133</v>
      </c>
      <c r="E264" s="40"/>
      <c r="F264" s="40"/>
      <c r="G264" s="10">
        <f t="shared" ref="G264:H265" si="32">G265</f>
        <v>474</v>
      </c>
      <c r="H264" s="10">
        <f t="shared" si="32"/>
        <v>474</v>
      </c>
    </row>
    <row r="265" spans="1:8" ht="47.25" hidden="1" x14ac:dyDescent="0.25">
      <c r="A265" s="29" t="s">
        <v>287</v>
      </c>
      <c r="B265" s="20" t="s">
        <v>1007</v>
      </c>
      <c r="C265" s="40" t="s">
        <v>279</v>
      </c>
      <c r="D265" s="40" t="s">
        <v>133</v>
      </c>
      <c r="E265" s="40" t="s">
        <v>288</v>
      </c>
      <c r="F265" s="40"/>
      <c r="G265" s="10">
        <f t="shared" si="32"/>
        <v>474</v>
      </c>
      <c r="H265" s="10">
        <f t="shared" si="32"/>
        <v>474</v>
      </c>
    </row>
    <row r="266" spans="1:8" ht="15.75" hidden="1" x14ac:dyDescent="0.25">
      <c r="A266" s="29" t="s">
        <v>289</v>
      </c>
      <c r="B266" s="20" t="s">
        <v>1007</v>
      </c>
      <c r="C266" s="40" t="s">
        <v>279</v>
      </c>
      <c r="D266" s="40" t="s">
        <v>133</v>
      </c>
      <c r="E266" s="40" t="s">
        <v>290</v>
      </c>
      <c r="F266" s="40"/>
      <c r="G266" s="10">
        <f>'пр.5.1.ведом.21-22'!G577</f>
        <v>474</v>
      </c>
      <c r="H266" s="10">
        <f>'пр.5.1.ведом.21-22'!H577</f>
        <v>474</v>
      </c>
    </row>
    <row r="267" spans="1:8" ht="31.5" hidden="1" x14ac:dyDescent="0.25">
      <c r="A267" s="29" t="s">
        <v>418</v>
      </c>
      <c r="B267" s="20" t="s">
        <v>1007</v>
      </c>
      <c r="C267" s="40" t="s">
        <v>279</v>
      </c>
      <c r="D267" s="40" t="s">
        <v>133</v>
      </c>
      <c r="E267" s="40" t="s">
        <v>290</v>
      </c>
      <c r="F267" s="40" t="s">
        <v>651</v>
      </c>
      <c r="G267" s="10">
        <f>G266</f>
        <v>474</v>
      </c>
      <c r="H267" s="10">
        <f>H266</f>
        <v>474</v>
      </c>
    </row>
    <row r="268" spans="1:8" ht="31.5" hidden="1" x14ac:dyDescent="0.25">
      <c r="A268" s="29" t="s">
        <v>295</v>
      </c>
      <c r="B268" s="20" t="s">
        <v>1008</v>
      </c>
      <c r="C268" s="40" t="s">
        <v>279</v>
      </c>
      <c r="D268" s="40" t="s">
        <v>133</v>
      </c>
      <c r="E268" s="40"/>
      <c r="F268" s="40"/>
      <c r="G268" s="10">
        <f t="shared" ref="G268:H269" si="33">G269</f>
        <v>67.400000000000006</v>
      </c>
      <c r="H268" s="10">
        <f t="shared" si="33"/>
        <v>67.400000000000006</v>
      </c>
    </row>
    <row r="269" spans="1:8" ht="47.25" hidden="1" x14ac:dyDescent="0.25">
      <c r="A269" s="29" t="s">
        <v>287</v>
      </c>
      <c r="B269" s="20" t="s">
        <v>1008</v>
      </c>
      <c r="C269" s="40" t="s">
        <v>279</v>
      </c>
      <c r="D269" s="40" t="s">
        <v>133</v>
      </c>
      <c r="E269" s="40" t="s">
        <v>288</v>
      </c>
      <c r="F269" s="40"/>
      <c r="G269" s="10">
        <f t="shared" si="33"/>
        <v>67.400000000000006</v>
      </c>
      <c r="H269" s="10">
        <f t="shared" si="33"/>
        <v>67.400000000000006</v>
      </c>
    </row>
    <row r="270" spans="1:8" ht="15.75" hidden="1" x14ac:dyDescent="0.25">
      <c r="A270" s="29" t="s">
        <v>289</v>
      </c>
      <c r="B270" s="20" t="s">
        <v>1008</v>
      </c>
      <c r="C270" s="40" t="s">
        <v>279</v>
      </c>
      <c r="D270" s="40" t="s">
        <v>133</v>
      </c>
      <c r="E270" s="40" t="s">
        <v>290</v>
      </c>
      <c r="F270" s="40"/>
      <c r="G270" s="10">
        <f>'пр.5.1.ведом.21-22'!G580</f>
        <v>67.400000000000006</v>
      </c>
      <c r="H270" s="10">
        <f>'пр.5.1.ведом.21-22'!H580</f>
        <v>67.400000000000006</v>
      </c>
    </row>
    <row r="271" spans="1:8" ht="31.5" hidden="1" x14ac:dyDescent="0.25">
      <c r="A271" s="29" t="s">
        <v>418</v>
      </c>
      <c r="B271" s="20" t="s">
        <v>1008</v>
      </c>
      <c r="C271" s="40" t="s">
        <v>279</v>
      </c>
      <c r="D271" s="40" t="s">
        <v>133</v>
      </c>
      <c r="E271" s="40" t="s">
        <v>290</v>
      </c>
      <c r="F271" s="40" t="s">
        <v>651</v>
      </c>
      <c r="G271" s="10">
        <f>G270</f>
        <v>67.400000000000006</v>
      </c>
      <c r="H271" s="10">
        <f>H270</f>
        <v>67.400000000000006</v>
      </c>
    </row>
    <row r="272" spans="1:8" ht="47.25" x14ac:dyDescent="0.25">
      <c r="A272" s="29" t="s">
        <v>430</v>
      </c>
      <c r="B272" s="20" t="s">
        <v>1009</v>
      </c>
      <c r="C272" s="40" t="s">
        <v>279</v>
      </c>
      <c r="D272" s="40" t="s">
        <v>133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287</v>
      </c>
      <c r="B273" s="20" t="s">
        <v>1009</v>
      </c>
      <c r="C273" s="40" t="s">
        <v>279</v>
      </c>
      <c r="D273" s="40" t="s">
        <v>133</v>
      </c>
      <c r="E273" s="40" t="s">
        <v>288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289</v>
      </c>
      <c r="B274" s="20" t="s">
        <v>1009</v>
      </c>
      <c r="C274" s="40" t="s">
        <v>279</v>
      </c>
      <c r="D274" s="40" t="s">
        <v>133</v>
      </c>
      <c r="E274" s="40" t="s">
        <v>290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418</v>
      </c>
      <c r="B275" s="20" t="s">
        <v>1009</v>
      </c>
      <c r="C275" s="40" t="s">
        <v>279</v>
      </c>
      <c r="D275" s="40" t="s">
        <v>133</v>
      </c>
      <c r="E275" s="40" t="s">
        <v>290</v>
      </c>
      <c r="F275" s="40" t="s">
        <v>651</v>
      </c>
      <c r="G275" s="10">
        <f>G274</f>
        <v>4430</v>
      </c>
      <c r="H275" s="10">
        <f>H274</f>
        <v>4430</v>
      </c>
    </row>
    <row r="276" spans="1:8" ht="47.25" x14ac:dyDescent="0.25">
      <c r="A276" s="224" t="s">
        <v>1075</v>
      </c>
      <c r="B276" s="24" t="s">
        <v>1010</v>
      </c>
      <c r="C276" s="7"/>
      <c r="D276" s="7"/>
      <c r="E276" s="7"/>
      <c r="F276" s="7"/>
      <c r="G276" s="4">
        <f>G277</f>
        <v>4666.7800000000007</v>
      </c>
      <c r="H276" s="4">
        <f>H277</f>
        <v>4666.7800000000007</v>
      </c>
    </row>
    <row r="277" spans="1:8" ht="15.75" x14ac:dyDescent="0.25">
      <c r="A277" s="29" t="s">
        <v>278</v>
      </c>
      <c r="B277" s="40" t="s">
        <v>1010</v>
      </c>
      <c r="C277" s="40" t="s">
        <v>279</v>
      </c>
      <c r="D277" s="40"/>
      <c r="E277" s="40"/>
      <c r="F277" s="40"/>
      <c r="G277" s="10">
        <f t="shared" ref="G277:H277" si="35">G278</f>
        <v>4666.7800000000007</v>
      </c>
      <c r="H277" s="10">
        <f t="shared" si="35"/>
        <v>4666.7800000000007</v>
      </c>
    </row>
    <row r="278" spans="1:8" ht="15.75" x14ac:dyDescent="0.25">
      <c r="A278" s="45" t="s">
        <v>419</v>
      </c>
      <c r="B278" s="40" t="s">
        <v>1010</v>
      </c>
      <c r="C278" s="40" t="s">
        <v>279</v>
      </c>
      <c r="D278" s="40" t="s">
        <v>133</v>
      </c>
      <c r="E278" s="40"/>
      <c r="F278" s="40"/>
      <c r="G278" s="10">
        <f>G279+G283+G287</f>
        <v>4666.7800000000007</v>
      </c>
      <c r="H278" s="10">
        <f>H279+H283+H287</f>
        <v>4666.7800000000007</v>
      </c>
    </row>
    <row r="279" spans="1:8" ht="31.5" hidden="1" x14ac:dyDescent="0.25">
      <c r="A279" s="29" t="s">
        <v>299</v>
      </c>
      <c r="B279" s="20" t="s">
        <v>1011</v>
      </c>
      <c r="C279" s="40" t="s">
        <v>279</v>
      </c>
      <c r="D279" s="40" t="s">
        <v>133</v>
      </c>
      <c r="E279" s="40"/>
      <c r="F279" s="40"/>
      <c r="G279" s="10">
        <f t="shared" ref="G279:H280" si="36">G280</f>
        <v>56.78</v>
      </c>
      <c r="H279" s="10">
        <f t="shared" si="36"/>
        <v>56.78</v>
      </c>
    </row>
    <row r="280" spans="1:8" ht="47.25" hidden="1" x14ac:dyDescent="0.25">
      <c r="A280" s="29" t="s">
        <v>287</v>
      </c>
      <c r="B280" s="20" t="s">
        <v>1011</v>
      </c>
      <c r="C280" s="40" t="s">
        <v>279</v>
      </c>
      <c r="D280" s="40" t="s">
        <v>133</v>
      </c>
      <c r="E280" s="40" t="s">
        <v>288</v>
      </c>
      <c r="F280" s="40"/>
      <c r="G280" s="10">
        <f t="shared" si="36"/>
        <v>56.78</v>
      </c>
      <c r="H280" s="10">
        <f t="shared" si="36"/>
        <v>56.78</v>
      </c>
    </row>
    <row r="281" spans="1:8" ht="15.75" hidden="1" x14ac:dyDescent="0.25">
      <c r="A281" s="29" t="s">
        <v>289</v>
      </c>
      <c r="B281" s="20" t="s">
        <v>1011</v>
      </c>
      <c r="C281" s="40" t="s">
        <v>279</v>
      </c>
      <c r="D281" s="40" t="s">
        <v>133</v>
      </c>
      <c r="E281" s="40" t="s">
        <v>290</v>
      </c>
      <c r="F281" s="40"/>
      <c r="G281" s="10">
        <f>'пр.5.1.ведом.21-22'!G587</f>
        <v>56.78</v>
      </c>
      <c r="H281" s="10">
        <f>'пр.5.1.ведом.21-22'!H587</f>
        <v>56.78</v>
      </c>
    </row>
    <row r="282" spans="1:8" ht="31.5" hidden="1" x14ac:dyDescent="0.25">
      <c r="A282" s="29" t="s">
        <v>418</v>
      </c>
      <c r="B282" s="20" t="s">
        <v>1011</v>
      </c>
      <c r="C282" s="40" t="s">
        <v>279</v>
      </c>
      <c r="D282" s="40" t="s">
        <v>133</v>
      </c>
      <c r="E282" s="40" t="s">
        <v>290</v>
      </c>
      <c r="F282" s="40" t="s">
        <v>651</v>
      </c>
      <c r="G282" s="10">
        <f>G281</f>
        <v>56.78</v>
      </c>
      <c r="H282" s="10">
        <f>H281</f>
        <v>56.78</v>
      </c>
    </row>
    <row r="283" spans="1:8" ht="47.25" x14ac:dyDescent="0.25">
      <c r="A283" s="60" t="s">
        <v>785</v>
      </c>
      <c r="B283" s="20" t="s">
        <v>1012</v>
      </c>
      <c r="C283" s="20" t="s">
        <v>279</v>
      </c>
      <c r="D283" s="20" t="s">
        <v>133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287</v>
      </c>
      <c r="B284" s="20" t="s">
        <v>1012</v>
      </c>
      <c r="C284" s="20" t="s">
        <v>279</v>
      </c>
      <c r="D284" s="20" t="s">
        <v>133</v>
      </c>
      <c r="E284" s="20" t="s">
        <v>288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3" t="s">
        <v>289</v>
      </c>
      <c r="B285" s="20" t="s">
        <v>1012</v>
      </c>
      <c r="C285" s="20" t="s">
        <v>279</v>
      </c>
      <c r="D285" s="20" t="s">
        <v>133</v>
      </c>
      <c r="E285" s="20" t="s">
        <v>290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418</v>
      </c>
      <c r="B286" s="20" t="s">
        <v>1012</v>
      </c>
      <c r="C286" s="40" t="s">
        <v>279</v>
      </c>
      <c r="D286" s="40" t="s">
        <v>133</v>
      </c>
      <c r="E286" s="40" t="s">
        <v>290</v>
      </c>
      <c r="F286" s="40" t="s">
        <v>651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786</v>
      </c>
      <c r="B287" s="20" t="s">
        <v>1013</v>
      </c>
      <c r="C287" s="20" t="s">
        <v>279</v>
      </c>
      <c r="D287" s="20" t="s">
        <v>133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287</v>
      </c>
      <c r="B288" s="20" t="s">
        <v>1013</v>
      </c>
      <c r="C288" s="20" t="s">
        <v>279</v>
      </c>
      <c r="D288" s="20" t="s">
        <v>133</v>
      </c>
      <c r="E288" s="20" t="s">
        <v>288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3" t="s">
        <v>289</v>
      </c>
      <c r="B289" s="20" t="s">
        <v>1013</v>
      </c>
      <c r="C289" s="20" t="s">
        <v>279</v>
      </c>
      <c r="D289" s="20" t="s">
        <v>133</v>
      </c>
      <c r="E289" s="20" t="s">
        <v>290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418</v>
      </c>
      <c r="B290" s="20" t="s">
        <v>1013</v>
      </c>
      <c r="C290" s="40" t="s">
        <v>279</v>
      </c>
      <c r="D290" s="40" t="s">
        <v>133</v>
      </c>
      <c r="E290" s="40" t="s">
        <v>290</v>
      </c>
      <c r="F290" s="40" t="s">
        <v>651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1014</v>
      </c>
      <c r="B291" s="24" t="s">
        <v>1015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278</v>
      </c>
      <c r="B292" s="40" t="s">
        <v>1015</v>
      </c>
      <c r="C292" s="40" t="s">
        <v>279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419</v>
      </c>
      <c r="B293" s="40" t="s">
        <v>1015</v>
      </c>
      <c r="C293" s="40" t="s">
        <v>279</v>
      </c>
      <c r="D293" s="40" t="s">
        <v>133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1456</v>
      </c>
      <c r="B294" s="20" t="s">
        <v>1016</v>
      </c>
      <c r="C294" s="20" t="s">
        <v>279</v>
      </c>
      <c r="D294" s="20" t="s">
        <v>133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287</v>
      </c>
      <c r="B295" s="20" t="s">
        <v>1016</v>
      </c>
      <c r="C295" s="20" t="s">
        <v>279</v>
      </c>
      <c r="D295" s="20" t="s">
        <v>133</v>
      </c>
      <c r="E295" s="20" t="s">
        <v>288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289</v>
      </c>
      <c r="B296" s="20" t="s">
        <v>1016</v>
      </c>
      <c r="C296" s="20" t="s">
        <v>279</v>
      </c>
      <c r="D296" s="20" t="s">
        <v>133</v>
      </c>
      <c r="E296" s="20" t="s">
        <v>290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418</v>
      </c>
      <c r="B297" s="20" t="s">
        <v>1016</v>
      </c>
      <c r="C297" s="40" t="s">
        <v>279</v>
      </c>
      <c r="D297" s="40" t="s">
        <v>133</v>
      </c>
      <c r="E297" s="40" t="s">
        <v>290</v>
      </c>
      <c r="F297" s="40" t="s">
        <v>651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438</v>
      </c>
      <c r="B298" s="20" t="s">
        <v>1017</v>
      </c>
      <c r="C298" s="20" t="s">
        <v>279</v>
      </c>
      <c r="D298" s="20" t="s">
        <v>133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287</v>
      </c>
      <c r="B299" s="20" t="s">
        <v>1017</v>
      </c>
      <c r="C299" s="20" t="s">
        <v>279</v>
      </c>
      <c r="D299" s="20" t="s">
        <v>133</v>
      </c>
      <c r="E299" s="20" t="s">
        <v>288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289</v>
      </c>
      <c r="B300" s="20" t="s">
        <v>1017</v>
      </c>
      <c r="C300" s="20" t="s">
        <v>279</v>
      </c>
      <c r="D300" s="20" t="s">
        <v>133</v>
      </c>
      <c r="E300" s="20" t="s">
        <v>290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418</v>
      </c>
      <c r="B301" s="20" t="s">
        <v>1017</v>
      </c>
      <c r="C301" s="40" t="s">
        <v>279</v>
      </c>
      <c r="D301" s="40" t="s">
        <v>133</v>
      </c>
      <c r="E301" s="40" t="s">
        <v>290</v>
      </c>
      <c r="F301" s="40" t="s">
        <v>651</v>
      </c>
      <c r="G301" s="10">
        <f>G300</f>
        <v>166.7</v>
      </c>
      <c r="H301" s="10">
        <f>H300</f>
        <v>166.7</v>
      </c>
    </row>
    <row r="302" spans="1:8" s="210" customFormat="1" ht="126" x14ac:dyDescent="0.25">
      <c r="A302" s="23" t="s">
        <v>1393</v>
      </c>
      <c r="B302" s="24" t="s">
        <v>1391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10" customFormat="1" ht="15.75" x14ac:dyDescent="0.25">
      <c r="A303" s="25" t="s">
        <v>278</v>
      </c>
      <c r="B303" s="20" t="s">
        <v>1391</v>
      </c>
      <c r="C303" s="40" t="s">
        <v>279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10" customFormat="1" ht="15.75" x14ac:dyDescent="0.25">
      <c r="A304" s="25" t="s">
        <v>419</v>
      </c>
      <c r="B304" s="20" t="s">
        <v>1391</v>
      </c>
      <c r="C304" s="40" t="s">
        <v>279</v>
      </c>
      <c r="D304" s="40" t="s">
        <v>133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10" customFormat="1" ht="94.5" x14ac:dyDescent="0.25">
      <c r="A305" s="151" t="s">
        <v>1457</v>
      </c>
      <c r="B305" s="20" t="s">
        <v>1395</v>
      </c>
      <c r="C305" s="40" t="s">
        <v>279</v>
      </c>
      <c r="D305" s="40" t="s">
        <v>133</v>
      </c>
      <c r="E305" s="40"/>
      <c r="F305" s="40"/>
      <c r="G305" s="10">
        <f>G306</f>
        <v>0</v>
      </c>
      <c r="H305" s="10">
        <f>H306</f>
        <v>0</v>
      </c>
    </row>
    <row r="306" spans="1:8" s="210" customFormat="1" ht="47.25" x14ac:dyDescent="0.25">
      <c r="A306" s="25" t="s">
        <v>287</v>
      </c>
      <c r="B306" s="20" t="s">
        <v>1395</v>
      </c>
      <c r="C306" s="40" t="s">
        <v>279</v>
      </c>
      <c r="D306" s="40" t="s">
        <v>133</v>
      </c>
      <c r="E306" s="40" t="s">
        <v>288</v>
      </c>
      <c r="F306" s="40"/>
      <c r="G306" s="10">
        <f>G307</f>
        <v>0</v>
      </c>
      <c r="H306" s="10">
        <f>H307</f>
        <v>0</v>
      </c>
    </row>
    <row r="307" spans="1:8" s="210" customFormat="1" ht="15.75" x14ac:dyDescent="0.25">
      <c r="A307" s="25" t="s">
        <v>289</v>
      </c>
      <c r="B307" s="20" t="s">
        <v>1395</v>
      </c>
      <c r="C307" s="40" t="s">
        <v>279</v>
      </c>
      <c r="D307" s="40" t="s">
        <v>133</v>
      </c>
      <c r="E307" s="40" t="s">
        <v>290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10" customFormat="1" ht="31.5" x14ac:dyDescent="0.25">
      <c r="A308" s="29" t="s">
        <v>418</v>
      </c>
      <c r="B308" s="20" t="s">
        <v>1395</v>
      </c>
      <c r="C308" s="40" t="s">
        <v>279</v>
      </c>
      <c r="D308" s="40" t="s">
        <v>133</v>
      </c>
      <c r="E308" s="40" t="s">
        <v>290</v>
      </c>
      <c r="F308" s="40" t="s">
        <v>651</v>
      </c>
      <c r="G308" s="10">
        <f>G305</f>
        <v>0</v>
      </c>
      <c r="H308" s="10">
        <f>H305</f>
        <v>0</v>
      </c>
    </row>
    <row r="309" spans="1:8" s="210" customFormat="1" ht="110.25" x14ac:dyDescent="0.25">
      <c r="A309" s="151" t="s">
        <v>1392</v>
      </c>
      <c r="B309" s="20" t="s">
        <v>1394</v>
      </c>
      <c r="C309" s="40" t="s">
        <v>279</v>
      </c>
      <c r="D309" s="40" t="s">
        <v>133</v>
      </c>
      <c r="E309" s="40"/>
      <c r="F309" s="40"/>
      <c r="G309" s="10">
        <f>G310</f>
        <v>1666.6</v>
      </c>
      <c r="H309" s="10">
        <f>H310</f>
        <v>1666.6</v>
      </c>
    </row>
    <row r="310" spans="1:8" s="210" customFormat="1" ht="47.25" x14ac:dyDescent="0.25">
      <c r="A310" s="25" t="s">
        <v>287</v>
      </c>
      <c r="B310" s="20" t="s">
        <v>1394</v>
      </c>
      <c r="C310" s="40" t="s">
        <v>279</v>
      </c>
      <c r="D310" s="40" t="s">
        <v>133</v>
      </c>
      <c r="E310" s="40" t="s">
        <v>288</v>
      </c>
      <c r="F310" s="40"/>
      <c r="G310" s="10">
        <f>G311</f>
        <v>1666.6</v>
      </c>
      <c r="H310" s="10">
        <f>H311</f>
        <v>1666.6</v>
      </c>
    </row>
    <row r="311" spans="1:8" s="210" customFormat="1" ht="15.75" x14ac:dyDescent="0.25">
      <c r="A311" s="25" t="s">
        <v>289</v>
      </c>
      <c r="B311" s="20" t="s">
        <v>1394</v>
      </c>
      <c r="C311" s="40" t="s">
        <v>279</v>
      </c>
      <c r="D311" s="40" t="s">
        <v>133</v>
      </c>
      <c r="E311" s="40" t="s">
        <v>290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10" customFormat="1" ht="31.5" x14ac:dyDescent="0.25">
      <c r="A312" s="29" t="s">
        <v>418</v>
      </c>
      <c r="B312" s="20" t="s">
        <v>1394</v>
      </c>
      <c r="C312" s="40" t="s">
        <v>279</v>
      </c>
      <c r="D312" s="40" t="s">
        <v>133</v>
      </c>
      <c r="E312" s="40" t="s">
        <v>290</v>
      </c>
      <c r="F312" s="40" t="s">
        <v>651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445</v>
      </c>
      <c r="B313" s="7" t="s">
        <v>446</v>
      </c>
      <c r="C313" s="7"/>
      <c r="D313" s="7"/>
      <c r="E313" s="7"/>
      <c r="F313" s="7"/>
      <c r="G313" s="4">
        <f>G314+G333+G344+G355+G366</f>
        <v>8844.0999999999985</v>
      </c>
      <c r="H313" s="4">
        <f>H314+H333+H344+H355+H366</f>
        <v>8852.5999999999985</v>
      </c>
    </row>
    <row r="314" spans="1:8" ht="31.5" x14ac:dyDescent="0.25">
      <c r="A314" s="23" t="s">
        <v>1027</v>
      </c>
      <c r="B314" s="24" t="s">
        <v>1028</v>
      </c>
      <c r="C314" s="7"/>
      <c r="D314" s="7"/>
      <c r="E314" s="7"/>
      <c r="F314" s="7"/>
      <c r="G314" s="4">
        <f>G315</f>
        <v>224</v>
      </c>
      <c r="H314" s="4">
        <f>H315</f>
        <v>224</v>
      </c>
    </row>
    <row r="315" spans="1:8" ht="15.75" x14ac:dyDescent="0.25">
      <c r="A315" s="29" t="s">
        <v>278</v>
      </c>
      <c r="B315" s="40" t="s">
        <v>1028</v>
      </c>
      <c r="C315" s="40" t="s">
        <v>279</v>
      </c>
      <c r="D315" s="40"/>
      <c r="E315" s="40"/>
      <c r="F315" s="40"/>
      <c r="G315" s="10">
        <f t="shared" ref="G315:H315" si="40">G316</f>
        <v>224</v>
      </c>
      <c r="H315" s="10">
        <f t="shared" si="40"/>
        <v>224</v>
      </c>
    </row>
    <row r="316" spans="1:8" ht="15.75" x14ac:dyDescent="0.25">
      <c r="A316" s="29" t="s">
        <v>440</v>
      </c>
      <c r="B316" s="40" t="s">
        <v>1028</v>
      </c>
      <c r="C316" s="40" t="s">
        <v>279</v>
      </c>
      <c r="D316" s="40" t="s">
        <v>228</v>
      </c>
      <c r="E316" s="40"/>
      <c r="F316" s="40"/>
      <c r="G316" s="10">
        <f>G317+G321+G325+G329</f>
        <v>224</v>
      </c>
      <c r="H316" s="10">
        <f>H317+H321+H325+H329</f>
        <v>224</v>
      </c>
    </row>
    <row r="317" spans="1:8" ht="47.25" hidden="1" x14ac:dyDescent="0.25">
      <c r="A317" s="25" t="s">
        <v>811</v>
      </c>
      <c r="B317" s="20" t="s">
        <v>1032</v>
      </c>
      <c r="C317" s="40" t="s">
        <v>279</v>
      </c>
      <c r="D317" s="40" t="s">
        <v>228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287</v>
      </c>
      <c r="B318" s="20" t="s">
        <v>1032</v>
      </c>
      <c r="C318" s="40" t="s">
        <v>279</v>
      </c>
      <c r="D318" s="40" t="s">
        <v>228</v>
      </c>
      <c r="E318" s="40" t="s">
        <v>288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289</v>
      </c>
      <c r="B319" s="20" t="s">
        <v>1032</v>
      </c>
      <c r="C319" s="40" t="s">
        <v>279</v>
      </c>
      <c r="D319" s="40" t="s">
        <v>228</v>
      </c>
      <c r="E319" s="40" t="s">
        <v>290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418</v>
      </c>
      <c r="B320" s="20" t="s">
        <v>1032</v>
      </c>
      <c r="C320" s="40" t="s">
        <v>279</v>
      </c>
      <c r="D320" s="40" t="s">
        <v>228</v>
      </c>
      <c r="E320" s="40" t="s">
        <v>290</v>
      </c>
      <c r="F320" s="40" t="s">
        <v>651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293</v>
      </c>
      <c r="B321" s="20" t="s">
        <v>1033</v>
      </c>
      <c r="C321" s="40" t="s">
        <v>279</v>
      </c>
      <c r="D321" s="40" t="s">
        <v>228</v>
      </c>
      <c r="E321" s="40"/>
      <c r="F321" s="40"/>
      <c r="G321" s="6">
        <f t="shared" ref="G321:H322" si="41">G322</f>
        <v>0</v>
      </c>
      <c r="H321" s="6">
        <f t="shared" si="41"/>
        <v>0</v>
      </c>
    </row>
    <row r="322" spans="1:8" ht="47.25" hidden="1" x14ac:dyDescent="0.25">
      <c r="A322" s="25" t="s">
        <v>287</v>
      </c>
      <c r="B322" s="20" t="s">
        <v>1033</v>
      </c>
      <c r="C322" s="40" t="s">
        <v>279</v>
      </c>
      <c r="D322" s="40" t="s">
        <v>228</v>
      </c>
      <c r="E322" s="40" t="s">
        <v>288</v>
      </c>
      <c r="F322" s="40"/>
      <c r="G322" s="6">
        <f t="shared" si="41"/>
        <v>0</v>
      </c>
      <c r="H322" s="6">
        <f t="shared" si="41"/>
        <v>0</v>
      </c>
    </row>
    <row r="323" spans="1:8" ht="15.75" hidden="1" x14ac:dyDescent="0.25">
      <c r="A323" s="25" t="s">
        <v>289</v>
      </c>
      <c r="B323" s="20" t="s">
        <v>1033</v>
      </c>
      <c r="C323" s="40" t="s">
        <v>279</v>
      </c>
      <c r="D323" s="40" t="s">
        <v>228</v>
      </c>
      <c r="E323" s="40" t="s">
        <v>290</v>
      </c>
      <c r="F323" s="40"/>
      <c r="G323" s="6">
        <f>'пр.5.1.ведом.21-22'!G660</f>
        <v>0</v>
      </c>
      <c r="H323" s="6">
        <f>'пр.5.1.ведом.21-22'!H660</f>
        <v>0</v>
      </c>
    </row>
    <row r="324" spans="1:8" ht="31.5" hidden="1" x14ac:dyDescent="0.25">
      <c r="A324" s="29" t="s">
        <v>418</v>
      </c>
      <c r="B324" s="20" t="s">
        <v>1033</v>
      </c>
      <c r="C324" s="40" t="s">
        <v>279</v>
      </c>
      <c r="D324" s="40" t="s">
        <v>228</v>
      </c>
      <c r="E324" s="40" t="s">
        <v>290</v>
      </c>
      <c r="F324" s="40" t="s">
        <v>651</v>
      </c>
      <c r="G324" s="10">
        <f>G323</f>
        <v>0</v>
      </c>
      <c r="H324" s="10">
        <f>H323</f>
        <v>0</v>
      </c>
    </row>
    <row r="325" spans="1:8" ht="31.5" hidden="1" x14ac:dyDescent="0.25">
      <c r="A325" s="25" t="s">
        <v>295</v>
      </c>
      <c r="B325" s="20" t="s">
        <v>1034</v>
      </c>
      <c r="C325" s="40" t="s">
        <v>279</v>
      </c>
      <c r="D325" s="40" t="s">
        <v>228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287</v>
      </c>
      <c r="B326" s="20" t="s">
        <v>1034</v>
      </c>
      <c r="C326" s="40" t="s">
        <v>279</v>
      </c>
      <c r="D326" s="40" t="s">
        <v>228</v>
      </c>
      <c r="E326" s="40" t="s">
        <v>288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289</v>
      </c>
      <c r="B327" s="20" t="s">
        <v>1034</v>
      </c>
      <c r="C327" s="40" t="s">
        <v>279</v>
      </c>
      <c r="D327" s="40" t="s">
        <v>228</v>
      </c>
      <c r="E327" s="40" t="s">
        <v>290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418</v>
      </c>
      <c r="B328" s="20" t="s">
        <v>1034</v>
      </c>
      <c r="C328" s="40" t="s">
        <v>279</v>
      </c>
      <c r="D328" s="40" t="s">
        <v>228</v>
      </c>
      <c r="E328" s="40" t="s">
        <v>290</v>
      </c>
      <c r="F328" s="40" t="s">
        <v>651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297</v>
      </c>
      <c r="B329" s="20" t="s">
        <v>1035</v>
      </c>
      <c r="C329" s="40" t="s">
        <v>279</v>
      </c>
      <c r="D329" s="40" t="s">
        <v>228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287</v>
      </c>
      <c r="B330" s="20" t="s">
        <v>1035</v>
      </c>
      <c r="C330" s="40" t="s">
        <v>279</v>
      </c>
      <c r="D330" s="40" t="s">
        <v>228</v>
      </c>
      <c r="E330" s="40" t="s">
        <v>288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289</v>
      </c>
      <c r="B331" s="20" t="s">
        <v>1035</v>
      </c>
      <c r="C331" s="40" t="s">
        <v>279</v>
      </c>
      <c r="D331" s="40" t="s">
        <v>228</v>
      </c>
      <c r="E331" s="40" t="s">
        <v>290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418</v>
      </c>
      <c r="B332" s="20" t="s">
        <v>1035</v>
      </c>
      <c r="C332" s="40" t="s">
        <v>279</v>
      </c>
      <c r="D332" s="40" t="s">
        <v>228</v>
      </c>
      <c r="E332" s="40" t="s">
        <v>290</v>
      </c>
      <c r="F332" s="40" t="s">
        <v>651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1029</v>
      </c>
      <c r="B333" s="24" t="s">
        <v>1030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278</v>
      </c>
      <c r="B334" s="40" t="s">
        <v>1030</v>
      </c>
      <c r="C334" s="40" t="s">
        <v>279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440</v>
      </c>
      <c r="B335" s="40" t="s">
        <v>1030</v>
      </c>
      <c r="C335" s="40" t="s">
        <v>279</v>
      </c>
      <c r="D335" s="40" t="s">
        <v>228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617</v>
      </c>
      <c r="B336" s="20" t="s">
        <v>1036</v>
      </c>
      <c r="C336" s="40" t="s">
        <v>279</v>
      </c>
      <c r="D336" s="40" t="s">
        <v>228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287</v>
      </c>
      <c r="B337" s="20" t="s">
        <v>1036</v>
      </c>
      <c r="C337" s="40" t="s">
        <v>279</v>
      </c>
      <c r="D337" s="40" t="s">
        <v>228</v>
      </c>
      <c r="E337" s="40" t="s">
        <v>288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289</v>
      </c>
      <c r="B338" s="20" t="s">
        <v>1036</v>
      </c>
      <c r="C338" s="40" t="s">
        <v>279</v>
      </c>
      <c r="D338" s="40" t="s">
        <v>228</v>
      </c>
      <c r="E338" s="40" t="s">
        <v>290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418</v>
      </c>
      <c r="B339" s="20" t="s">
        <v>1036</v>
      </c>
      <c r="C339" s="40" t="s">
        <v>279</v>
      </c>
      <c r="D339" s="40" t="s">
        <v>228</v>
      </c>
      <c r="E339" s="40" t="s">
        <v>290</v>
      </c>
      <c r="F339" s="40" t="s">
        <v>651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471</v>
      </c>
      <c r="B340" s="20" t="s">
        <v>1037</v>
      </c>
      <c r="C340" s="40" t="s">
        <v>279</v>
      </c>
      <c r="D340" s="40" t="s">
        <v>228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287</v>
      </c>
      <c r="B341" s="20" t="s">
        <v>1037</v>
      </c>
      <c r="C341" s="40" t="s">
        <v>279</v>
      </c>
      <c r="D341" s="40" t="s">
        <v>228</v>
      </c>
      <c r="E341" s="40" t="s">
        <v>288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289</v>
      </c>
      <c r="B342" s="20" t="s">
        <v>1037</v>
      </c>
      <c r="C342" s="40" t="s">
        <v>279</v>
      </c>
      <c r="D342" s="40" t="s">
        <v>228</v>
      </c>
      <c r="E342" s="40" t="s">
        <v>290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418</v>
      </c>
      <c r="B343" s="20" t="s">
        <v>1037</v>
      </c>
      <c r="C343" s="40" t="s">
        <v>279</v>
      </c>
      <c r="D343" s="40" t="s">
        <v>228</v>
      </c>
      <c r="E343" s="40" t="s">
        <v>290</v>
      </c>
      <c r="F343" s="40" t="s">
        <v>651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1031</v>
      </c>
      <c r="B344" s="24" t="s">
        <v>1038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278</v>
      </c>
      <c r="B345" s="40" t="s">
        <v>1038</v>
      </c>
      <c r="C345" s="40" t="s">
        <v>279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440</v>
      </c>
      <c r="B346" s="40" t="s">
        <v>1038</v>
      </c>
      <c r="C346" s="40" t="s">
        <v>279</v>
      </c>
      <c r="D346" s="40" t="s">
        <v>228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453</v>
      </c>
      <c r="B347" s="20" t="s">
        <v>1039</v>
      </c>
      <c r="C347" s="40" t="s">
        <v>279</v>
      </c>
      <c r="D347" s="40" t="s">
        <v>228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287</v>
      </c>
      <c r="B348" s="20" t="s">
        <v>1039</v>
      </c>
      <c r="C348" s="40" t="s">
        <v>279</v>
      </c>
      <c r="D348" s="40" t="s">
        <v>228</v>
      </c>
      <c r="E348" s="40" t="s">
        <v>288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289</v>
      </c>
      <c r="B349" s="20" t="s">
        <v>1039</v>
      </c>
      <c r="C349" s="40" t="s">
        <v>279</v>
      </c>
      <c r="D349" s="40" t="s">
        <v>228</v>
      </c>
      <c r="E349" s="40" t="s">
        <v>290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418</v>
      </c>
      <c r="B350" s="20" t="s">
        <v>1039</v>
      </c>
      <c r="C350" s="40" t="s">
        <v>279</v>
      </c>
      <c r="D350" s="40" t="s">
        <v>228</v>
      </c>
      <c r="E350" s="40" t="s">
        <v>290</v>
      </c>
      <c r="F350" s="40" t="s">
        <v>651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473</v>
      </c>
      <c r="B351" s="20" t="s">
        <v>1040</v>
      </c>
      <c r="C351" s="40" t="s">
        <v>279</v>
      </c>
      <c r="D351" s="40" t="s">
        <v>228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64" t="s">
        <v>287</v>
      </c>
      <c r="B352" s="20" t="s">
        <v>1040</v>
      </c>
      <c r="C352" s="40" t="s">
        <v>279</v>
      </c>
      <c r="D352" s="40" t="s">
        <v>228</v>
      </c>
      <c r="E352" s="40" t="s">
        <v>288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289</v>
      </c>
      <c r="B353" s="20" t="s">
        <v>1040</v>
      </c>
      <c r="C353" s="40" t="s">
        <v>279</v>
      </c>
      <c r="D353" s="40" t="s">
        <v>228</v>
      </c>
      <c r="E353" s="40" t="s">
        <v>290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418</v>
      </c>
      <c r="B354" s="20" t="s">
        <v>1040</v>
      </c>
      <c r="C354" s="40" t="s">
        <v>279</v>
      </c>
      <c r="D354" s="40" t="s">
        <v>228</v>
      </c>
      <c r="E354" s="40" t="s">
        <v>290</v>
      </c>
      <c r="F354" s="40" t="s">
        <v>651</v>
      </c>
      <c r="G354" s="10">
        <f>G353</f>
        <v>496.7</v>
      </c>
      <c r="H354" s="10">
        <f>H353</f>
        <v>496.7</v>
      </c>
    </row>
    <row r="355" spans="1:8" ht="47.25" x14ac:dyDescent="0.25">
      <c r="A355" s="224" t="s">
        <v>1075</v>
      </c>
      <c r="B355" s="24" t="s">
        <v>1041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278</v>
      </c>
      <c r="B356" s="40" t="s">
        <v>1041</v>
      </c>
      <c r="C356" s="40" t="s">
        <v>279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440</v>
      </c>
      <c r="B357" s="40" t="s">
        <v>1041</v>
      </c>
      <c r="C357" s="40" t="s">
        <v>279</v>
      </c>
      <c r="D357" s="40" t="s">
        <v>228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299</v>
      </c>
      <c r="B358" s="20" t="s">
        <v>1043</v>
      </c>
      <c r="C358" s="40" t="s">
        <v>279</v>
      </c>
      <c r="D358" s="40" t="s">
        <v>228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287</v>
      </c>
      <c r="B359" s="20" t="s">
        <v>1043</v>
      </c>
      <c r="C359" s="40" t="s">
        <v>279</v>
      </c>
      <c r="D359" s="40" t="s">
        <v>228</v>
      </c>
      <c r="E359" s="40" t="s">
        <v>288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289</v>
      </c>
      <c r="B360" s="20" t="s">
        <v>1043</v>
      </c>
      <c r="C360" s="40" t="s">
        <v>279</v>
      </c>
      <c r="D360" s="40" t="s">
        <v>228</v>
      </c>
      <c r="E360" s="40" t="s">
        <v>290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418</v>
      </c>
      <c r="B361" s="20" t="s">
        <v>1043</v>
      </c>
      <c r="C361" s="40" t="s">
        <v>279</v>
      </c>
      <c r="D361" s="40" t="s">
        <v>228</v>
      </c>
      <c r="E361" s="40" t="s">
        <v>290</v>
      </c>
      <c r="F361" s="40" t="s">
        <v>651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785</v>
      </c>
      <c r="B362" s="20" t="s">
        <v>1044</v>
      </c>
      <c r="C362" s="40" t="s">
        <v>279</v>
      </c>
      <c r="D362" s="40" t="s">
        <v>228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287</v>
      </c>
      <c r="B363" s="20" t="s">
        <v>1044</v>
      </c>
      <c r="C363" s="40" t="s">
        <v>279</v>
      </c>
      <c r="D363" s="40" t="s">
        <v>228</v>
      </c>
      <c r="E363" s="40" t="s">
        <v>288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3" t="s">
        <v>289</v>
      </c>
      <c r="B364" s="20" t="s">
        <v>1044</v>
      </c>
      <c r="C364" s="40" t="s">
        <v>279</v>
      </c>
      <c r="D364" s="40" t="s">
        <v>228</v>
      </c>
      <c r="E364" s="40" t="s">
        <v>290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418</v>
      </c>
      <c r="B365" s="20" t="s">
        <v>1044</v>
      </c>
      <c r="C365" s="40" t="s">
        <v>279</v>
      </c>
      <c r="D365" s="40" t="s">
        <v>228</v>
      </c>
      <c r="E365" s="40" t="s">
        <v>290</v>
      </c>
      <c r="F365" s="40" t="s">
        <v>651</v>
      </c>
      <c r="G365" s="10">
        <f>G364</f>
        <v>2634</v>
      </c>
      <c r="H365" s="10">
        <f>H364</f>
        <v>2634</v>
      </c>
    </row>
    <row r="366" spans="1:8" ht="47.25" x14ac:dyDescent="0.25">
      <c r="A366" s="222" t="s">
        <v>1046</v>
      </c>
      <c r="B366" s="24" t="s">
        <v>1042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278</v>
      </c>
      <c r="B367" s="40" t="s">
        <v>1042</v>
      </c>
      <c r="C367" s="40" t="s">
        <v>279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440</v>
      </c>
      <c r="B368" s="40" t="s">
        <v>1042</v>
      </c>
      <c r="C368" s="40" t="s">
        <v>279</v>
      </c>
      <c r="D368" s="40" t="s">
        <v>228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3" t="s">
        <v>872</v>
      </c>
      <c r="B369" s="20" t="s">
        <v>1045</v>
      </c>
      <c r="C369" s="40" t="s">
        <v>279</v>
      </c>
      <c r="D369" s="40" t="s">
        <v>228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287</v>
      </c>
      <c r="B370" s="20" t="s">
        <v>1045</v>
      </c>
      <c r="C370" s="40" t="s">
        <v>279</v>
      </c>
      <c r="D370" s="40" t="s">
        <v>228</v>
      </c>
      <c r="E370" s="40" t="s">
        <v>288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3" t="s">
        <v>289</v>
      </c>
      <c r="B371" s="20" t="s">
        <v>1045</v>
      </c>
      <c r="C371" s="40" t="s">
        <v>279</v>
      </c>
      <c r="D371" s="40" t="s">
        <v>228</v>
      </c>
      <c r="E371" s="40" t="s">
        <v>290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418</v>
      </c>
      <c r="B372" s="20" t="s">
        <v>1045</v>
      </c>
      <c r="C372" s="40" t="s">
        <v>279</v>
      </c>
      <c r="D372" s="40" t="s">
        <v>228</v>
      </c>
      <c r="E372" s="40" t="s">
        <v>290</v>
      </c>
      <c r="F372" s="40" t="s">
        <v>651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461</v>
      </c>
      <c r="B373" s="7" t="s">
        <v>462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24" t="s">
        <v>1075</v>
      </c>
      <c r="B374" s="24" t="s">
        <v>1051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278</v>
      </c>
      <c r="B375" s="40" t="s">
        <v>1051</v>
      </c>
      <c r="C375" s="40" t="s">
        <v>279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280</v>
      </c>
      <c r="B376" s="40" t="s">
        <v>1051</v>
      </c>
      <c r="C376" s="40" t="s">
        <v>279</v>
      </c>
      <c r="D376" s="40" t="s">
        <v>230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785</v>
      </c>
      <c r="B377" s="20" t="s">
        <v>1052</v>
      </c>
      <c r="C377" s="20" t="s">
        <v>279</v>
      </c>
      <c r="D377" s="20" t="s">
        <v>230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287</v>
      </c>
      <c r="B378" s="20" t="s">
        <v>1052</v>
      </c>
      <c r="C378" s="20" t="s">
        <v>279</v>
      </c>
      <c r="D378" s="20" t="s">
        <v>230</v>
      </c>
      <c r="E378" s="20" t="s">
        <v>288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289</v>
      </c>
      <c r="B379" s="20" t="s">
        <v>1052</v>
      </c>
      <c r="C379" s="20" t="s">
        <v>279</v>
      </c>
      <c r="D379" s="20" t="s">
        <v>230</v>
      </c>
      <c r="E379" s="20" t="s">
        <v>290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418</v>
      </c>
      <c r="B380" s="20" t="s">
        <v>1052</v>
      </c>
      <c r="C380" s="40" t="s">
        <v>279</v>
      </c>
      <c r="D380" s="40" t="s">
        <v>230</v>
      </c>
      <c r="E380" s="40" t="s">
        <v>290</v>
      </c>
      <c r="F380" s="40" t="s">
        <v>651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482</v>
      </c>
      <c r="B381" s="7" t="s">
        <v>484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1054</v>
      </c>
      <c r="B382" s="24" t="s">
        <v>1055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278</v>
      </c>
      <c r="B383" s="40" t="s">
        <v>1055</v>
      </c>
      <c r="C383" s="40" t="s">
        <v>279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481</v>
      </c>
      <c r="B384" s="40" t="s">
        <v>1055</v>
      </c>
      <c r="C384" s="40" t="s">
        <v>279</v>
      </c>
      <c r="D384" s="40" t="s">
        <v>279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1233</v>
      </c>
      <c r="B385" s="20" t="s">
        <v>1056</v>
      </c>
      <c r="C385" s="40" t="s">
        <v>279</v>
      </c>
      <c r="D385" s="40" t="s">
        <v>279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287</v>
      </c>
      <c r="B386" s="20" t="s">
        <v>1056</v>
      </c>
      <c r="C386" s="40" t="s">
        <v>279</v>
      </c>
      <c r="D386" s="40" t="s">
        <v>279</v>
      </c>
      <c r="E386" s="40" t="s">
        <v>288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289</v>
      </c>
      <c r="B387" s="20" t="s">
        <v>1056</v>
      </c>
      <c r="C387" s="40" t="s">
        <v>279</v>
      </c>
      <c r="D387" s="40" t="s">
        <v>279</v>
      </c>
      <c r="E387" s="40" t="s">
        <v>290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418</v>
      </c>
      <c r="B388" s="20" t="s">
        <v>1056</v>
      </c>
      <c r="C388" s="40" t="s">
        <v>279</v>
      </c>
      <c r="D388" s="40" t="s">
        <v>279</v>
      </c>
      <c r="E388" s="40" t="s">
        <v>290</v>
      </c>
      <c r="F388" s="40" t="s">
        <v>651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489</v>
      </c>
      <c r="B389" s="20" t="s">
        <v>1057</v>
      </c>
      <c r="C389" s="40" t="s">
        <v>279</v>
      </c>
      <c r="D389" s="40" t="s">
        <v>279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287</v>
      </c>
      <c r="B390" s="20" t="s">
        <v>1057</v>
      </c>
      <c r="C390" s="40" t="s">
        <v>279</v>
      </c>
      <c r="D390" s="40" t="s">
        <v>279</v>
      </c>
      <c r="E390" s="40" t="s">
        <v>288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289</v>
      </c>
      <c r="B391" s="20" t="s">
        <v>1057</v>
      </c>
      <c r="C391" s="40" t="s">
        <v>279</v>
      </c>
      <c r="D391" s="40" t="s">
        <v>279</v>
      </c>
      <c r="E391" s="40" t="s">
        <v>290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418</v>
      </c>
      <c r="B392" s="20" t="s">
        <v>1057</v>
      </c>
      <c r="C392" s="40" t="s">
        <v>279</v>
      </c>
      <c r="D392" s="40" t="s">
        <v>279</v>
      </c>
      <c r="E392" s="40" t="s">
        <v>290</v>
      </c>
      <c r="F392" s="40" t="s">
        <v>651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813</v>
      </c>
      <c r="B393" s="206" t="s">
        <v>171</v>
      </c>
      <c r="C393" s="7"/>
      <c r="D393" s="206"/>
      <c r="E393" s="206"/>
      <c r="F393" s="206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1241</v>
      </c>
      <c r="B394" s="24" t="s">
        <v>1238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247</v>
      </c>
      <c r="B395" s="5" t="s">
        <v>1238</v>
      </c>
      <c r="C395" s="40" t="s">
        <v>165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796</v>
      </c>
      <c r="B396" s="5" t="s">
        <v>1238</v>
      </c>
      <c r="C396" s="40" t="s">
        <v>165</v>
      </c>
      <c r="D396" s="40" t="s">
        <v>253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1242</v>
      </c>
      <c r="B397" s="20" t="s">
        <v>1239</v>
      </c>
      <c r="C397" s="40" t="s">
        <v>165</v>
      </c>
      <c r="D397" s="40" t="s">
        <v>253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150</v>
      </c>
      <c r="B398" s="20" t="s">
        <v>1239</v>
      </c>
      <c r="C398" s="40" t="s">
        <v>165</v>
      </c>
      <c r="D398" s="40" t="s">
        <v>253</v>
      </c>
      <c r="E398" s="40" t="s">
        <v>147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199</v>
      </c>
      <c r="B399" s="20" t="s">
        <v>1239</v>
      </c>
      <c r="C399" s="40" t="s">
        <v>165</v>
      </c>
      <c r="D399" s="40" t="s">
        <v>253</v>
      </c>
      <c r="E399" s="40" t="s">
        <v>149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163</v>
      </c>
      <c r="B400" s="20" t="s">
        <v>1239</v>
      </c>
      <c r="C400" s="40" t="s">
        <v>165</v>
      </c>
      <c r="D400" s="40" t="s">
        <v>253</v>
      </c>
      <c r="E400" s="40" t="s">
        <v>149</v>
      </c>
      <c r="F400" s="40" t="s">
        <v>656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254</v>
      </c>
      <c r="B401" s="20" t="s">
        <v>1240</v>
      </c>
      <c r="C401" s="40" t="s">
        <v>165</v>
      </c>
      <c r="D401" s="40" t="s">
        <v>253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150</v>
      </c>
      <c r="B402" s="20" t="s">
        <v>1240</v>
      </c>
      <c r="C402" s="40" t="s">
        <v>165</v>
      </c>
      <c r="D402" s="40" t="s">
        <v>253</v>
      </c>
      <c r="E402" s="40" t="s">
        <v>160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199</v>
      </c>
      <c r="B403" s="20" t="s">
        <v>1240</v>
      </c>
      <c r="C403" s="40" t="s">
        <v>165</v>
      </c>
      <c r="D403" s="40" t="s">
        <v>253</v>
      </c>
      <c r="E403" s="40" t="s">
        <v>175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163</v>
      </c>
      <c r="B404" s="20" t="s">
        <v>1240</v>
      </c>
      <c r="C404" s="40" t="s">
        <v>165</v>
      </c>
      <c r="D404" s="40" t="s">
        <v>253</v>
      </c>
      <c r="E404" s="40" t="s">
        <v>175</v>
      </c>
      <c r="F404" s="40" t="s">
        <v>656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817</v>
      </c>
      <c r="B405" s="206" t="s">
        <v>177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26" t="s">
        <v>1153</v>
      </c>
      <c r="B406" s="7" t="s">
        <v>893</v>
      </c>
      <c r="C406" s="7"/>
      <c r="D406" s="8"/>
      <c r="E406" s="206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132</v>
      </c>
      <c r="B407" s="5" t="s">
        <v>893</v>
      </c>
      <c r="C407" s="40" t="s">
        <v>133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164</v>
      </c>
      <c r="B408" s="5" t="s">
        <v>893</v>
      </c>
      <c r="C408" s="40" t="s">
        <v>133</v>
      </c>
      <c r="D408" s="9" t="s">
        <v>165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178</v>
      </c>
      <c r="B409" s="40" t="s">
        <v>885</v>
      </c>
      <c r="C409" s="40" t="s">
        <v>133</v>
      </c>
      <c r="D409" s="9" t="s">
        <v>165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146</v>
      </c>
      <c r="B410" s="40" t="s">
        <v>885</v>
      </c>
      <c r="C410" s="40" t="s">
        <v>133</v>
      </c>
      <c r="D410" s="9" t="s">
        <v>165</v>
      </c>
      <c r="E410" s="40" t="s">
        <v>147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148</v>
      </c>
      <c r="B411" s="40" t="s">
        <v>885</v>
      </c>
      <c r="C411" s="40" t="s">
        <v>133</v>
      </c>
      <c r="D411" s="9" t="s">
        <v>165</v>
      </c>
      <c r="E411" s="40" t="s">
        <v>149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163</v>
      </c>
      <c r="B412" s="40" t="s">
        <v>885</v>
      </c>
      <c r="C412" s="40" t="s">
        <v>133</v>
      </c>
      <c r="D412" s="9" t="s">
        <v>165</v>
      </c>
      <c r="E412" s="40" t="s">
        <v>149</v>
      </c>
      <c r="F412" s="40" t="s">
        <v>656</v>
      </c>
      <c r="G412" s="10">
        <f>G411</f>
        <v>446</v>
      </c>
      <c r="H412" s="10">
        <f>H411</f>
        <v>446</v>
      </c>
    </row>
    <row r="413" spans="1:8" ht="78.75" x14ac:dyDescent="0.25">
      <c r="A413" s="225" t="s">
        <v>887</v>
      </c>
      <c r="B413" s="7" t="s">
        <v>894</v>
      </c>
      <c r="C413" s="7"/>
      <c r="D413" s="8"/>
      <c r="E413" s="206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132</v>
      </c>
      <c r="B414" s="5" t="s">
        <v>894</v>
      </c>
      <c r="C414" s="40" t="s">
        <v>133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590</v>
      </c>
      <c r="B415" s="5" t="s">
        <v>894</v>
      </c>
      <c r="C415" s="40" t="s">
        <v>133</v>
      </c>
      <c r="D415" s="9" t="s">
        <v>228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710</v>
      </c>
      <c r="B416" s="40" t="s">
        <v>1140</v>
      </c>
      <c r="C416" s="40" t="s">
        <v>133</v>
      </c>
      <c r="D416" s="9" t="s">
        <v>228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146</v>
      </c>
      <c r="B417" s="40" t="s">
        <v>1140</v>
      </c>
      <c r="C417" s="40" t="s">
        <v>133</v>
      </c>
      <c r="D417" s="9" t="s">
        <v>228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148</v>
      </c>
      <c r="B418" s="40" t="s">
        <v>711</v>
      </c>
      <c r="C418" s="40" t="s">
        <v>133</v>
      </c>
      <c r="D418" s="9" t="s">
        <v>228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589</v>
      </c>
      <c r="B419" s="40" t="s">
        <v>711</v>
      </c>
      <c r="C419" s="40" t="s">
        <v>133</v>
      </c>
      <c r="D419" s="9" t="s">
        <v>228</v>
      </c>
      <c r="E419" s="5">
        <v>240</v>
      </c>
      <c r="F419" s="40" t="s">
        <v>812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710</v>
      </c>
      <c r="B420" s="20" t="s">
        <v>1139</v>
      </c>
      <c r="C420" s="40" t="s">
        <v>133</v>
      </c>
      <c r="D420" s="9" t="s">
        <v>228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146</v>
      </c>
      <c r="B421" s="20" t="s">
        <v>1139</v>
      </c>
      <c r="C421" s="40" t="s">
        <v>133</v>
      </c>
      <c r="D421" s="9" t="s">
        <v>228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148</v>
      </c>
      <c r="B422" s="20" t="s">
        <v>1139</v>
      </c>
      <c r="C422" s="40" t="s">
        <v>133</v>
      </c>
      <c r="D422" s="9" t="s">
        <v>228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589</v>
      </c>
      <c r="B423" s="20" t="s">
        <v>1139</v>
      </c>
      <c r="C423" s="40" t="s">
        <v>133</v>
      </c>
      <c r="D423" s="9" t="s">
        <v>228</v>
      </c>
      <c r="E423" s="5">
        <v>240</v>
      </c>
      <c r="F423" s="40" t="s">
        <v>812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164</v>
      </c>
      <c r="B424" s="5" t="s">
        <v>894</v>
      </c>
      <c r="C424" s="40" t="s">
        <v>133</v>
      </c>
      <c r="D424" s="9" t="s">
        <v>165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180</v>
      </c>
      <c r="B425" s="40" t="s">
        <v>886</v>
      </c>
      <c r="C425" s="40" t="s">
        <v>133</v>
      </c>
      <c r="D425" s="9" t="s">
        <v>165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142</v>
      </c>
      <c r="B426" s="40" t="s">
        <v>886</v>
      </c>
      <c r="C426" s="40" t="s">
        <v>133</v>
      </c>
      <c r="D426" s="9" t="s">
        <v>165</v>
      </c>
      <c r="E426" s="40" t="s">
        <v>143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144</v>
      </c>
      <c r="B427" s="40" t="s">
        <v>886</v>
      </c>
      <c r="C427" s="40" t="s">
        <v>133</v>
      </c>
      <c r="D427" s="9" t="s">
        <v>165</v>
      </c>
      <c r="E427" s="40" t="s">
        <v>145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163</v>
      </c>
      <c r="B428" s="40" t="s">
        <v>886</v>
      </c>
      <c r="C428" s="40" t="s">
        <v>133</v>
      </c>
      <c r="D428" s="9" t="s">
        <v>165</v>
      </c>
      <c r="E428" s="40" t="s">
        <v>145</v>
      </c>
      <c r="F428" s="40" t="s">
        <v>656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146</v>
      </c>
      <c r="B429" s="40" t="s">
        <v>886</v>
      </c>
      <c r="C429" s="40" t="s">
        <v>133</v>
      </c>
      <c r="D429" s="9" t="s">
        <v>165</v>
      </c>
      <c r="E429" s="40" t="s">
        <v>147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148</v>
      </c>
      <c r="B430" s="40" t="s">
        <v>886</v>
      </c>
      <c r="C430" s="40" t="s">
        <v>133</v>
      </c>
      <c r="D430" s="9" t="s">
        <v>165</v>
      </c>
      <c r="E430" s="40" t="s">
        <v>149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163</v>
      </c>
      <c r="B431" s="40" t="s">
        <v>886</v>
      </c>
      <c r="C431" s="40" t="s">
        <v>133</v>
      </c>
      <c r="D431" s="9" t="s">
        <v>165</v>
      </c>
      <c r="E431" s="40" t="s">
        <v>149</v>
      </c>
      <c r="F431" s="40" t="s">
        <v>656</v>
      </c>
      <c r="G431" s="10">
        <f>G430</f>
        <v>40</v>
      </c>
      <c r="H431" s="10">
        <f>H430</f>
        <v>40</v>
      </c>
    </row>
    <row r="432" spans="1:8" ht="78.75" x14ac:dyDescent="0.25">
      <c r="A432" s="227" t="s">
        <v>1154</v>
      </c>
      <c r="B432" s="7" t="s">
        <v>895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10" customFormat="1" ht="15.75" x14ac:dyDescent="0.25">
      <c r="A433" s="281" t="s">
        <v>132</v>
      </c>
      <c r="B433" s="40" t="s">
        <v>895</v>
      </c>
      <c r="C433" s="40" t="s">
        <v>133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10" customFormat="1" ht="78.75" x14ac:dyDescent="0.25">
      <c r="A434" s="29" t="s">
        <v>164</v>
      </c>
      <c r="B434" s="40" t="s">
        <v>895</v>
      </c>
      <c r="C434" s="40" t="s">
        <v>133</v>
      </c>
      <c r="D434" s="9" t="s">
        <v>165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206</v>
      </c>
      <c r="B435" s="40" t="s">
        <v>888</v>
      </c>
      <c r="C435" s="40" t="s">
        <v>133</v>
      </c>
      <c r="D435" s="9" t="s">
        <v>165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146</v>
      </c>
      <c r="B436" s="40" t="s">
        <v>888</v>
      </c>
      <c r="C436" s="40" t="s">
        <v>133</v>
      </c>
      <c r="D436" s="9" t="s">
        <v>165</v>
      </c>
      <c r="E436" s="40" t="s">
        <v>147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148</v>
      </c>
      <c r="B437" s="40" t="s">
        <v>888</v>
      </c>
      <c r="C437" s="40" t="s">
        <v>133</v>
      </c>
      <c r="D437" s="9" t="s">
        <v>165</v>
      </c>
      <c r="E437" s="40" t="s">
        <v>149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163</v>
      </c>
      <c r="B438" s="40" t="s">
        <v>888</v>
      </c>
      <c r="C438" s="40" t="s">
        <v>133</v>
      </c>
      <c r="D438" s="9" t="s">
        <v>165</v>
      </c>
      <c r="E438" s="40" t="s">
        <v>149</v>
      </c>
      <c r="F438" s="40" t="s">
        <v>656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206</v>
      </c>
      <c r="B439" s="20" t="s">
        <v>889</v>
      </c>
      <c r="C439" s="40" t="s">
        <v>133</v>
      </c>
      <c r="D439" s="9" t="s">
        <v>165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146</v>
      </c>
      <c r="B440" s="20" t="s">
        <v>889</v>
      </c>
      <c r="C440" s="40" t="s">
        <v>133</v>
      </c>
      <c r="D440" s="9" t="s">
        <v>165</v>
      </c>
      <c r="E440" s="40" t="s">
        <v>147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148</v>
      </c>
      <c r="B441" s="20" t="s">
        <v>889</v>
      </c>
      <c r="C441" s="40" t="s">
        <v>133</v>
      </c>
      <c r="D441" s="9" t="s">
        <v>165</v>
      </c>
      <c r="E441" s="40" t="s">
        <v>149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163</v>
      </c>
      <c r="B442" s="20" t="s">
        <v>889</v>
      </c>
      <c r="C442" s="40" t="s">
        <v>133</v>
      </c>
      <c r="D442" s="9" t="s">
        <v>165</v>
      </c>
      <c r="E442" s="40" t="s">
        <v>149</v>
      </c>
      <c r="F442" s="40" t="s">
        <v>656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268</v>
      </c>
      <c r="B443" s="206" t="s">
        <v>269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929</v>
      </c>
      <c r="B444" s="24" t="s">
        <v>927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258</v>
      </c>
      <c r="B445" s="5" t="s">
        <v>927</v>
      </c>
      <c r="C445" s="40" t="s">
        <v>259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267</v>
      </c>
      <c r="B446" s="5" t="s">
        <v>927</v>
      </c>
      <c r="C446" s="40" t="s">
        <v>259</v>
      </c>
      <c r="D446" s="40" t="s">
        <v>230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928</v>
      </c>
      <c r="B447" s="20" t="s">
        <v>1460</v>
      </c>
      <c r="C447" s="40" t="s">
        <v>259</v>
      </c>
      <c r="D447" s="40" t="s">
        <v>230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263</v>
      </c>
      <c r="B448" s="20" t="s">
        <v>1460</v>
      </c>
      <c r="C448" s="40" t="s">
        <v>259</v>
      </c>
      <c r="D448" s="40" t="s">
        <v>230</v>
      </c>
      <c r="E448" s="40" t="s">
        <v>264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265</v>
      </c>
      <c r="B449" s="20" t="s">
        <v>1460</v>
      </c>
      <c r="C449" s="40" t="s">
        <v>259</v>
      </c>
      <c r="D449" s="40" t="s">
        <v>230</v>
      </c>
      <c r="E449" s="40" t="s">
        <v>266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163</v>
      </c>
      <c r="B450" s="20" t="s">
        <v>1460</v>
      </c>
      <c r="C450" s="40" t="s">
        <v>259</v>
      </c>
      <c r="D450" s="40" t="s">
        <v>230</v>
      </c>
      <c r="E450" s="40" t="s">
        <v>266</v>
      </c>
      <c r="F450" s="40" t="s">
        <v>656</v>
      </c>
      <c r="G450" s="10">
        <f>G449</f>
        <v>10</v>
      </c>
      <c r="H450" s="10">
        <f>H449</f>
        <v>10</v>
      </c>
    </row>
    <row r="451" spans="1:8" s="210" customFormat="1" ht="78.75" x14ac:dyDescent="0.25">
      <c r="A451" s="25" t="s">
        <v>1410</v>
      </c>
      <c r="B451" s="20" t="s">
        <v>1409</v>
      </c>
      <c r="C451" s="40" t="s">
        <v>259</v>
      </c>
      <c r="D451" s="40" t="s">
        <v>230</v>
      </c>
      <c r="E451" s="40"/>
      <c r="F451" s="40"/>
      <c r="G451" s="10">
        <f>G452</f>
        <v>5000</v>
      </c>
      <c r="H451" s="10">
        <f>H452</f>
        <v>0</v>
      </c>
    </row>
    <row r="452" spans="1:8" s="210" customFormat="1" ht="31.5" x14ac:dyDescent="0.25">
      <c r="A452" s="25" t="s">
        <v>263</v>
      </c>
      <c r="B452" s="20" t="s">
        <v>1409</v>
      </c>
      <c r="C452" s="40" t="s">
        <v>259</v>
      </c>
      <c r="D452" s="40" t="s">
        <v>230</v>
      </c>
      <c r="E452" s="40" t="s">
        <v>264</v>
      </c>
      <c r="F452" s="40"/>
      <c r="G452" s="10">
        <f>G453</f>
        <v>5000</v>
      </c>
      <c r="H452" s="10">
        <f>H453</f>
        <v>0</v>
      </c>
    </row>
    <row r="453" spans="1:8" s="210" customFormat="1" ht="47.25" x14ac:dyDescent="0.25">
      <c r="A453" s="25" t="s">
        <v>265</v>
      </c>
      <c r="B453" s="20" t="s">
        <v>1409</v>
      </c>
      <c r="C453" s="40" t="s">
        <v>259</v>
      </c>
      <c r="D453" s="40" t="s">
        <v>230</v>
      </c>
      <c r="E453" s="40" t="s">
        <v>266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10" customFormat="1" ht="31.5" x14ac:dyDescent="0.25">
      <c r="A454" s="45" t="s">
        <v>163</v>
      </c>
      <c r="B454" s="20" t="s">
        <v>1409</v>
      </c>
      <c r="C454" s="40" t="s">
        <v>259</v>
      </c>
      <c r="D454" s="40" t="s">
        <v>230</v>
      </c>
      <c r="E454" s="40" t="s">
        <v>266</v>
      </c>
      <c r="F454" s="40" t="s">
        <v>656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496</v>
      </c>
      <c r="B455" s="3" t="s">
        <v>497</v>
      </c>
      <c r="C455" s="68"/>
      <c r="D455" s="68"/>
      <c r="E455" s="68"/>
      <c r="F455" s="68"/>
      <c r="G455" s="4">
        <f>G456+G505</f>
        <v>48187.5</v>
      </c>
      <c r="H455" s="4">
        <f>H456+H505</f>
        <v>48187.5</v>
      </c>
    </row>
    <row r="456" spans="1:8" ht="63" x14ac:dyDescent="0.25">
      <c r="A456" s="58" t="s">
        <v>508</v>
      </c>
      <c r="B456" s="7" t="s">
        <v>509</v>
      </c>
      <c r="C456" s="7"/>
      <c r="D456" s="7"/>
      <c r="E456" s="7"/>
      <c r="F456" s="3"/>
      <c r="G456" s="59">
        <f>G457+G472+G487+G498</f>
        <v>46187.5</v>
      </c>
      <c r="H456" s="59">
        <f>H457+H472+H487+H498</f>
        <v>46187.5</v>
      </c>
    </row>
    <row r="457" spans="1:8" ht="47.25" x14ac:dyDescent="0.25">
      <c r="A457" s="23" t="s">
        <v>1026</v>
      </c>
      <c r="B457" s="24" t="s">
        <v>1059</v>
      </c>
      <c r="C457" s="7"/>
      <c r="D457" s="7"/>
      <c r="E457" s="229"/>
      <c r="F457" s="206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505</v>
      </c>
      <c r="B458" s="40" t="s">
        <v>1059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507</v>
      </c>
      <c r="B459" s="40" t="s">
        <v>1059</v>
      </c>
      <c r="C459" s="40" t="s">
        <v>506</v>
      </c>
      <c r="D459" s="40" t="s">
        <v>133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835</v>
      </c>
      <c r="B460" s="20" t="s">
        <v>1069</v>
      </c>
      <c r="C460" s="40" t="s">
        <v>506</v>
      </c>
      <c r="D460" s="40" t="s">
        <v>133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287</v>
      </c>
      <c r="B461" s="20" t="s">
        <v>1069</v>
      </c>
      <c r="C461" s="40" t="s">
        <v>506</v>
      </c>
      <c r="D461" s="40" t="s">
        <v>133</v>
      </c>
      <c r="E461" s="40" t="s">
        <v>288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289</v>
      </c>
      <c r="B462" s="20" t="s">
        <v>1069</v>
      </c>
      <c r="C462" s="40" t="s">
        <v>506</v>
      </c>
      <c r="D462" s="40" t="s">
        <v>133</v>
      </c>
      <c r="E462" s="40" t="s">
        <v>290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495</v>
      </c>
      <c r="B463" s="20" t="s">
        <v>1069</v>
      </c>
      <c r="C463" s="40" t="s">
        <v>506</v>
      </c>
      <c r="D463" s="40" t="s">
        <v>133</v>
      </c>
      <c r="E463" s="40" t="s">
        <v>290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834</v>
      </c>
      <c r="B464" s="20" t="s">
        <v>1070</v>
      </c>
      <c r="C464" s="40" t="s">
        <v>506</v>
      </c>
      <c r="D464" s="40" t="s">
        <v>133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287</v>
      </c>
      <c r="B465" s="20" t="s">
        <v>1070</v>
      </c>
      <c r="C465" s="40" t="s">
        <v>506</v>
      </c>
      <c r="D465" s="40" t="s">
        <v>133</v>
      </c>
      <c r="E465" s="40" t="s">
        <v>288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289</v>
      </c>
      <c r="B466" s="20" t="s">
        <v>1070</v>
      </c>
      <c r="C466" s="40" t="s">
        <v>506</v>
      </c>
      <c r="D466" s="40" t="s">
        <v>133</v>
      </c>
      <c r="E466" s="40" t="s">
        <v>290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495</v>
      </c>
      <c r="B467" s="20" t="s">
        <v>1070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833</v>
      </c>
      <c r="B468" s="20" t="s">
        <v>1071</v>
      </c>
      <c r="C468" s="40" t="s">
        <v>506</v>
      </c>
      <c r="D468" s="40" t="s">
        <v>133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287</v>
      </c>
      <c r="B469" s="20" t="s">
        <v>1071</v>
      </c>
      <c r="C469" s="40" t="s">
        <v>506</v>
      </c>
      <c r="D469" s="40" t="s">
        <v>133</v>
      </c>
      <c r="E469" s="40" t="s">
        <v>288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289</v>
      </c>
      <c r="B470" s="20" t="s">
        <v>1071</v>
      </c>
      <c r="C470" s="40" t="s">
        <v>506</v>
      </c>
      <c r="D470" s="40" t="s">
        <v>133</v>
      </c>
      <c r="E470" s="40" t="s">
        <v>290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495</v>
      </c>
      <c r="B471" s="20" t="s">
        <v>1071</v>
      </c>
      <c r="C471" s="40" t="s">
        <v>506</v>
      </c>
      <c r="D471" s="40" t="s">
        <v>133</v>
      </c>
      <c r="E471" s="40" t="s">
        <v>290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1072</v>
      </c>
      <c r="B472" s="24" t="s">
        <v>1073</v>
      </c>
      <c r="C472" s="7"/>
      <c r="D472" s="7"/>
      <c r="E472" s="7"/>
      <c r="F472" s="206"/>
      <c r="G472" s="59">
        <f>G473</f>
        <v>36</v>
      </c>
      <c r="H472" s="59">
        <f>H473</f>
        <v>36</v>
      </c>
    </row>
    <row r="473" spans="1:8" ht="15.75" x14ac:dyDescent="0.25">
      <c r="A473" s="29" t="s">
        <v>505</v>
      </c>
      <c r="B473" s="40" t="s">
        <v>1073</v>
      </c>
      <c r="C473" s="2">
        <v>11</v>
      </c>
      <c r="D473" s="68"/>
      <c r="E473" s="68"/>
      <c r="F473" s="68"/>
      <c r="G473" s="10">
        <f t="shared" ref="G473:H473" si="64">G474</f>
        <v>36</v>
      </c>
      <c r="H473" s="10">
        <f t="shared" si="64"/>
        <v>36</v>
      </c>
    </row>
    <row r="474" spans="1:8" ht="16.5" x14ac:dyDescent="0.25">
      <c r="A474" s="29" t="s">
        <v>507</v>
      </c>
      <c r="B474" s="40" t="s">
        <v>1073</v>
      </c>
      <c r="C474" s="40" t="s">
        <v>506</v>
      </c>
      <c r="D474" s="40" t="s">
        <v>133</v>
      </c>
      <c r="E474" s="71"/>
      <c r="F474" s="5"/>
      <c r="G474" s="10">
        <f>G475+G479+G483</f>
        <v>36</v>
      </c>
      <c r="H474" s="10">
        <f>H475+H479+H483</f>
        <v>36</v>
      </c>
    </row>
    <row r="475" spans="1:8" ht="47.25" hidden="1" x14ac:dyDescent="0.25">
      <c r="A475" s="29" t="s">
        <v>293</v>
      </c>
      <c r="B475" s="20" t="s">
        <v>1077</v>
      </c>
      <c r="C475" s="40" t="s">
        <v>506</v>
      </c>
      <c r="D475" s="40" t="s">
        <v>133</v>
      </c>
      <c r="E475" s="40"/>
      <c r="F475" s="5"/>
      <c r="G475" s="10">
        <f t="shared" ref="G475:H476" si="65">G476</f>
        <v>0</v>
      </c>
      <c r="H475" s="10">
        <f t="shared" si="65"/>
        <v>0</v>
      </c>
    </row>
    <row r="476" spans="1:8" ht="47.25" hidden="1" x14ac:dyDescent="0.25">
      <c r="A476" s="29" t="s">
        <v>287</v>
      </c>
      <c r="B476" s="20" t="s">
        <v>1077</v>
      </c>
      <c r="C476" s="40" t="s">
        <v>506</v>
      </c>
      <c r="D476" s="40" t="s">
        <v>133</v>
      </c>
      <c r="E476" s="40" t="s">
        <v>288</v>
      </c>
      <c r="F476" s="5"/>
      <c r="G476" s="10">
        <f t="shared" si="65"/>
        <v>0</v>
      </c>
      <c r="H476" s="10">
        <f t="shared" si="65"/>
        <v>0</v>
      </c>
    </row>
    <row r="477" spans="1:8" ht="15.75" hidden="1" x14ac:dyDescent="0.25">
      <c r="A477" s="29" t="s">
        <v>289</v>
      </c>
      <c r="B477" s="20" t="s">
        <v>1077</v>
      </c>
      <c r="C477" s="40" t="s">
        <v>506</v>
      </c>
      <c r="D477" s="40" t="s">
        <v>133</v>
      </c>
      <c r="E477" s="40" t="s">
        <v>290</v>
      </c>
      <c r="F477" s="5"/>
      <c r="G477" s="10">
        <f>'пр.5.1.ведом.21-22'!G798</f>
        <v>0</v>
      </c>
      <c r="H477" s="10">
        <f>'пр.5.1.ведом.21-22'!H798</f>
        <v>0</v>
      </c>
    </row>
    <row r="478" spans="1:8" ht="47.25" hidden="1" x14ac:dyDescent="0.25">
      <c r="A478" s="70" t="s">
        <v>495</v>
      </c>
      <c r="B478" s="20" t="s">
        <v>1077</v>
      </c>
      <c r="C478" s="40" t="s">
        <v>506</v>
      </c>
      <c r="D478" s="40" t="s">
        <v>133</v>
      </c>
      <c r="E478" s="40" t="s">
        <v>290</v>
      </c>
      <c r="F478" s="5">
        <v>907</v>
      </c>
      <c r="G478" s="10">
        <f>G477</f>
        <v>0</v>
      </c>
      <c r="H478" s="10">
        <f>H477</f>
        <v>0</v>
      </c>
    </row>
    <row r="479" spans="1:8" ht="31.5" hidden="1" x14ac:dyDescent="0.25">
      <c r="A479" s="29" t="s">
        <v>295</v>
      </c>
      <c r="B479" s="20" t="s">
        <v>1078</v>
      </c>
      <c r="C479" s="40" t="s">
        <v>506</v>
      </c>
      <c r="D479" s="40" t="s">
        <v>133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287</v>
      </c>
      <c r="B480" s="20" t="s">
        <v>1078</v>
      </c>
      <c r="C480" s="40" t="s">
        <v>506</v>
      </c>
      <c r="D480" s="40" t="s">
        <v>133</v>
      </c>
      <c r="E480" s="40" t="s">
        <v>288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289</v>
      </c>
      <c r="B481" s="20" t="s">
        <v>1078</v>
      </c>
      <c r="C481" s="40" t="s">
        <v>506</v>
      </c>
      <c r="D481" s="40" t="s">
        <v>133</v>
      </c>
      <c r="E481" s="40" t="s">
        <v>290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495</v>
      </c>
      <c r="B482" s="20" t="s">
        <v>1078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874</v>
      </c>
      <c r="B483" s="20" t="s">
        <v>1079</v>
      </c>
      <c r="C483" s="40" t="s">
        <v>506</v>
      </c>
      <c r="D483" s="40" t="s">
        <v>133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287</v>
      </c>
      <c r="B484" s="20" t="s">
        <v>1079</v>
      </c>
      <c r="C484" s="40" t="s">
        <v>506</v>
      </c>
      <c r="D484" s="40" t="s">
        <v>133</v>
      </c>
      <c r="E484" s="40" t="s">
        <v>288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289</v>
      </c>
      <c r="B485" s="20" t="s">
        <v>1079</v>
      </c>
      <c r="C485" s="40" t="s">
        <v>506</v>
      </c>
      <c r="D485" s="40" t="s">
        <v>133</v>
      </c>
      <c r="E485" s="40" t="s">
        <v>290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495</v>
      </c>
      <c r="B486" s="20" t="s">
        <v>1079</v>
      </c>
      <c r="C486" s="40" t="s">
        <v>506</v>
      </c>
      <c r="D486" s="40" t="s">
        <v>133</v>
      </c>
      <c r="E486" s="40" t="s">
        <v>290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1074</v>
      </c>
      <c r="B487" s="24" t="s">
        <v>1076</v>
      </c>
      <c r="C487" s="7"/>
      <c r="D487" s="7"/>
      <c r="E487" s="7"/>
      <c r="F487" s="206"/>
      <c r="G487" s="59">
        <f>G488</f>
        <v>756</v>
      </c>
      <c r="H487" s="59">
        <f>H488</f>
        <v>756</v>
      </c>
    </row>
    <row r="488" spans="1:8" ht="15.75" x14ac:dyDescent="0.25">
      <c r="A488" s="29" t="s">
        <v>505</v>
      </c>
      <c r="B488" s="40" t="s">
        <v>1076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507</v>
      </c>
      <c r="B489" s="40" t="s">
        <v>1076</v>
      </c>
      <c r="C489" s="40" t="s">
        <v>506</v>
      </c>
      <c r="D489" s="40" t="s">
        <v>133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299</v>
      </c>
      <c r="B490" s="20" t="s">
        <v>1080</v>
      </c>
      <c r="C490" s="40" t="s">
        <v>506</v>
      </c>
      <c r="D490" s="40" t="s">
        <v>133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287</v>
      </c>
      <c r="B491" s="20" t="s">
        <v>1080</v>
      </c>
      <c r="C491" s="40" t="s">
        <v>506</v>
      </c>
      <c r="D491" s="40" t="s">
        <v>133</v>
      </c>
      <c r="E491" s="40" t="s">
        <v>288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289</v>
      </c>
      <c r="B492" s="20" t="s">
        <v>1080</v>
      </c>
      <c r="C492" s="40" t="s">
        <v>506</v>
      </c>
      <c r="D492" s="40" t="s">
        <v>133</v>
      </c>
      <c r="E492" s="40" t="s">
        <v>290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495</v>
      </c>
      <c r="B493" s="20" t="s">
        <v>1080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785</v>
      </c>
      <c r="B494" s="20" t="s">
        <v>1081</v>
      </c>
      <c r="C494" s="40" t="s">
        <v>506</v>
      </c>
      <c r="D494" s="40" t="s">
        <v>133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287</v>
      </c>
      <c r="B495" s="20" t="s">
        <v>1081</v>
      </c>
      <c r="C495" s="40" t="s">
        <v>506</v>
      </c>
      <c r="D495" s="40" t="s">
        <v>133</v>
      </c>
      <c r="E495" s="40" t="s">
        <v>288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289</v>
      </c>
      <c r="B496" s="20" t="s">
        <v>1081</v>
      </c>
      <c r="C496" s="40" t="s">
        <v>506</v>
      </c>
      <c r="D496" s="40" t="s">
        <v>133</v>
      </c>
      <c r="E496" s="40" t="s">
        <v>290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495</v>
      </c>
      <c r="B497" s="20" t="s">
        <v>1081</v>
      </c>
      <c r="C497" s="40" t="s">
        <v>506</v>
      </c>
      <c r="D497" s="40" t="s">
        <v>133</v>
      </c>
      <c r="E497" s="40" t="s">
        <v>290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969</v>
      </c>
      <c r="B498" s="24" t="s">
        <v>1082</v>
      </c>
      <c r="C498" s="7"/>
      <c r="D498" s="7"/>
      <c r="E498" s="7"/>
      <c r="F498" s="206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505</v>
      </c>
      <c r="B499" s="40" t="s">
        <v>1082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507</v>
      </c>
      <c r="B500" s="40" t="s">
        <v>1082</v>
      </c>
      <c r="C500" s="40" t="s">
        <v>506</v>
      </c>
      <c r="D500" s="40" t="s">
        <v>133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308</v>
      </c>
      <c r="B501" s="20" t="s">
        <v>1509</v>
      </c>
      <c r="C501" s="40" t="s">
        <v>506</v>
      </c>
      <c r="D501" s="40" t="s">
        <v>133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287</v>
      </c>
      <c r="B502" s="316" t="s">
        <v>1509</v>
      </c>
      <c r="C502" s="40" t="s">
        <v>506</v>
      </c>
      <c r="D502" s="40" t="s">
        <v>133</v>
      </c>
      <c r="E502" s="40" t="s">
        <v>288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289</v>
      </c>
      <c r="B503" s="316" t="s">
        <v>1509</v>
      </c>
      <c r="C503" s="40" t="s">
        <v>506</v>
      </c>
      <c r="D503" s="40" t="s">
        <v>133</v>
      </c>
      <c r="E503" s="40" t="s">
        <v>290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495</v>
      </c>
      <c r="B504" s="316" t="s">
        <v>1509</v>
      </c>
      <c r="C504" s="40" t="s">
        <v>506</v>
      </c>
      <c r="D504" s="40" t="s">
        <v>133</v>
      </c>
      <c r="E504" s="40" t="s">
        <v>290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516</v>
      </c>
      <c r="B505" s="7" t="s">
        <v>517</v>
      </c>
      <c r="C505" s="40"/>
      <c r="D505" s="40"/>
      <c r="E505" s="7"/>
      <c r="F505" s="206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1084</v>
      </c>
      <c r="B506" s="7" t="s">
        <v>1085</v>
      </c>
      <c r="C506" s="7"/>
      <c r="D506" s="7"/>
      <c r="E506" s="7"/>
      <c r="F506" s="206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505</v>
      </c>
      <c r="B507" s="40" t="s">
        <v>1085</v>
      </c>
      <c r="C507" s="40" t="s">
        <v>506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515</v>
      </c>
      <c r="B508" s="40" t="s">
        <v>1085</v>
      </c>
      <c r="C508" s="40" t="s">
        <v>506</v>
      </c>
      <c r="D508" s="40" t="s">
        <v>249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1086</v>
      </c>
      <c r="B509" s="40" t="s">
        <v>1234</v>
      </c>
      <c r="C509" s="40" t="s">
        <v>506</v>
      </c>
      <c r="D509" s="40" t="s">
        <v>249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142</v>
      </c>
      <c r="B510" s="40" t="s">
        <v>1234</v>
      </c>
      <c r="C510" s="40" t="s">
        <v>506</v>
      </c>
      <c r="D510" s="40" t="s">
        <v>249</v>
      </c>
      <c r="E510" s="40" t="s">
        <v>143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357</v>
      </c>
      <c r="B511" s="40" t="s">
        <v>1234</v>
      </c>
      <c r="C511" s="40" t="s">
        <v>506</v>
      </c>
      <c r="D511" s="40" t="s">
        <v>249</v>
      </c>
      <c r="E511" s="40" t="s">
        <v>224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495</v>
      </c>
      <c r="B512" s="40" t="s">
        <v>1234</v>
      </c>
      <c r="C512" s="40" t="s">
        <v>506</v>
      </c>
      <c r="D512" s="40" t="s">
        <v>249</v>
      </c>
      <c r="E512" s="40" t="s">
        <v>224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146</v>
      </c>
      <c r="B513" s="40" t="s">
        <v>1234</v>
      </c>
      <c r="C513" s="40" t="s">
        <v>506</v>
      </c>
      <c r="D513" s="40" t="s">
        <v>249</v>
      </c>
      <c r="E513" s="40" t="s">
        <v>147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148</v>
      </c>
      <c r="B514" s="40" t="s">
        <v>1234</v>
      </c>
      <c r="C514" s="40" t="s">
        <v>506</v>
      </c>
      <c r="D514" s="40" t="s">
        <v>249</v>
      </c>
      <c r="E514" s="40" t="s">
        <v>149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495</v>
      </c>
      <c r="B515" s="40" t="s">
        <v>1234</v>
      </c>
      <c r="C515" s="40" t="s">
        <v>506</v>
      </c>
      <c r="D515" s="40" t="s">
        <v>249</v>
      </c>
      <c r="E515" s="40" t="s">
        <v>149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281</v>
      </c>
      <c r="B516" s="7" t="s">
        <v>282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316</v>
      </c>
      <c r="B517" s="7" t="s">
        <v>317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954</v>
      </c>
      <c r="B518" s="24" t="s">
        <v>955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313</v>
      </c>
      <c r="B519" s="40" t="s">
        <v>955</v>
      </c>
      <c r="C519" s="40" t="s">
        <v>314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315</v>
      </c>
      <c r="B520" s="40" t="s">
        <v>955</v>
      </c>
      <c r="C520" s="40" t="s">
        <v>314</v>
      </c>
      <c r="D520" s="40" t="s">
        <v>133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830</v>
      </c>
      <c r="B521" s="20" t="s">
        <v>953</v>
      </c>
      <c r="C521" s="40" t="s">
        <v>314</v>
      </c>
      <c r="D521" s="40" t="s">
        <v>133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142</v>
      </c>
      <c r="B522" s="20" t="s">
        <v>953</v>
      </c>
      <c r="C522" s="40" t="s">
        <v>314</v>
      </c>
      <c r="D522" s="40" t="s">
        <v>133</v>
      </c>
      <c r="E522" s="40" t="s">
        <v>143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223</v>
      </c>
      <c r="B523" s="20" t="s">
        <v>953</v>
      </c>
      <c r="C523" s="40" t="s">
        <v>314</v>
      </c>
      <c r="D523" s="40" t="s">
        <v>133</v>
      </c>
      <c r="E523" s="40" t="s">
        <v>224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1267</v>
      </c>
      <c r="B524" s="20" t="s">
        <v>953</v>
      </c>
      <c r="C524" s="40" t="s">
        <v>314</v>
      </c>
      <c r="D524" s="40" t="s">
        <v>133</v>
      </c>
      <c r="E524" s="40" t="s">
        <v>224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146</v>
      </c>
      <c r="B525" s="20" t="s">
        <v>953</v>
      </c>
      <c r="C525" s="40" t="s">
        <v>314</v>
      </c>
      <c r="D525" s="40" t="s">
        <v>133</v>
      </c>
      <c r="E525" s="40" t="s">
        <v>147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148</v>
      </c>
      <c r="B526" s="20" t="s">
        <v>953</v>
      </c>
      <c r="C526" s="40" t="s">
        <v>314</v>
      </c>
      <c r="D526" s="40" t="s">
        <v>133</v>
      </c>
      <c r="E526" s="40" t="s">
        <v>149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1267</v>
      </c>
      <c r="B527" s="20" t="s">
        <v>953</v>
      </c>
      <c r="C527" s="40" t="s">
        <v>314</v>
      </c>
      <c r="D527" s="40" t="s">
        <v>133</v>
      </c>
      <c r="E527" s="40" t="s">
        <v>149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150</v>
      </c>
      <c r="B528" s="20" t="s">
        <v>953</v>
      </c>
      <c r="C528" s="40" t="s">
        <v>314</v>
      </c>
      <c r="D528" s="40" t="s">
        <v>133</v>
      </c>
      <c r="E528" s="40" t="s">
        <v>160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152</v>
      </c>
      <c r="B529" s="20" t="s">
        <v>953</v>
      </c>
      <c r="C529" s="40" t="s">
        <v>314</v>
      </c>
      <c r="D529" s="40" t="s">
        <v>133</v>
      </c>
      <c r="E529" s="40" t="s">
        <v>153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1267</v>
      </c>
      <c r="B530" s="20" t="s">
        <v>953</v>
      </c>
      <c r="C530" s="40" t="s">
        <v>314</v>
      </c>
      <c r="D530" s="40" t="s">
        <v>133</v>
      </c>
      <c r="E530" s="40" t="s">
        <v>153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22" t="s">
        <v>968</v>
      </c>
      <c r="B531" s="24" t="s">
        <v>956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313</v>
      </c>
      <c r="B532" s="40" t="s">
        <v>956</v>
      </c>
      <c r="C532" s="40" t="s">
        <v>314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315</v>
      </c>
      <c r="B533" s="40" t="s">
        <v>956</v>
      </c>
      <c r="C533" s="40" t="s">
        <v>314</v>
      </c>
      <c r="D533" s="40" t="s">
        <v>133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858</v>
      </c>
      <c r="B534" s="20" t="s">
        <v>957</v>
      </c>
      <c r="C534" s="40" t="s">
        <v>314</v>
      </c>
      <c r="D534" s="40" t="s">
        <v>133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142</v>
      </c>
      <c r="B535" s="20" t="s">
        <v>957</v>
      </c>
      <c r="C535" s="40" t="s">
        <v>314</v>
      </c>
      <c r="D535" s="40" t="s">
        <v>133</v>
      </c>
      <c r="E535" s="40" t="s">
        <v>143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223</v>
      </c>
      <c r="B536" s="20" t="s">
        <v>957</v>
      </c>
      <c r="C536" s="40" t="s">
        <v>314</v>
      </c>
      <c r="D536" s="40" t="s">
        <v>133</v>
      </c>
      <c r="E536" s="40" t="s">
        <v>224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1267</v>
      </c>
      <c r="B537" s="20" t="s">
        <v>957</v>
      </c>
      <c r="C537" s="40" t="s">
        <v>314</v>
      </c>
      <c r="D537" s="40" t="s">
        <v>133</v>
      </c>
      <c r="E537" s="40" t="s">
        <v>224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146</v>
      </c>
      <c r="B538" s="20" t="s">
        <v>957</v>
      </c>
      <c r="C538" s="40" t="s">
        <v>314</v>
      </c>
      <c r="D538" s="40" t="s">
        <v>133</v>
      </c>
      <c r="E538" s="40" t="s">
        <v>147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148</v>
      </c>
      <c r="B539" s="20" t="s">
        <v>957</v>
      </c>
      <c r="C539" s="40" t="s">
        <v>314</v>
      </c>
      <c r="D539" s="40" t="s">
        <v>133</v>
      </c>
      <c r="E539" s="40" t="s">
        <v>149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1267</v>
      </c>
      <c r="B540" s="20" t="s">
        <v>957</v>
      </c>
      <c r="C540" s="40" t="s">
        <v>314</v>
      </c>
      <c r="D540" s="40" t="s">
        <v>133</v>
      </c>
      <c r="E540" s="40" t="s">
        <v>149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1074</v>
      </c>
      <c r="B541" s="24" t="s">
        <v>1162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313</v>
      </c>
      <c r="B542" s="40" t="s">
        <v>1162</v>
      </c>
      <c r="C542" s="40" t="s">
        <v>314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315</v>
      </c>
      <c r="B543" s="40" t="s">
        <v>1162</v>
      </c>
      <c r="C543" s="40" t="s">
        <v>314</v>
      </c>
      <c r="D543" s="40" t="s">
        <v>133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883</v>
      </c>
      <c r="B544" s="20" t="s">
        <v>1163</v>
      </c>
      <c r="C544" s="40" t="s">
        <v>314</v>
      </c>
      <c r="D544" s="40" t="s">
        <v>133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142</v>
      </c>
      <c r="B545" s="20" t="s">
        <v>1163</v>
      </c>
      <c r="C545" s="40" t="s">
        <v>314</v>
      </c>
      <c r="D545" s="40" t="s">
        <v>133</v>
      </c>
      <c r="E545" s="40" t="s">
        <v>143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144</v>
      </c>
      <c r="B546" s="20" t="s">
        <v>1163</v>
      </c>
      <c r="C546" s="40" t="s">
        <v>314</v>
      </c>
      <c r="D546" s="40" t="s">
        <v>133</v>
      </c>
      <c r="E546" s="40" t="s">
        <v>224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1267</v>
      </c>
      <c r="B547" s="20" t="s">
        <v>1163</v>
      </c>
      <c r="C547" s="40" t="s">
        <v>314</v>
      </c>
      <c r="D547" s="40" t="s">
        <v>133</v>
      </c>
      <c r="E547" s="40" t="s">
        <v>224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23" t="s">
        <v>969</v>
      </c>
      <c r="B548" s="24" t="s">
        <v>1164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313</v>
      </c>
      <c r="B549" s="40" t="s">
        <v>1164</v>
      </c>
      <c r="C549" s="40" t="s">
        <v>314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315</v>
      </c>
      <c r="B550" s="40" t="s">
        <v>1164</v>
      </c>
      <c r="C550" s="40" t="s">
        <v>314</v>
      </c>
      <c r="D550" s="40" t="s">
        <v>133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308</v>
      </c>
      <c r="B551" s="20" t="s">
        <v>1511</v>
      </c>
      <c r="C551" s="40" t="s">
        <v>314</v>
      </c>
      <c r="D551" s="40" t="s">
        <v>133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142</v>
      </c>
      <c r="B552" s="316" t="s">
        <v>1511</v>
      </c>
      <c r="C552" s="40" t="s">
        <v>314</v>
      </c>
      <c r="D552" s="40" t="s">
        <v>133</v>
      </c>
      <c r="E552" s="40" t="s">
        <v>143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223</v>
      </c>
      <c r="B553" s="316" t="s">
        <v>1511</v>
      </c>
      <c r="C553" s="40" t="s">
        <v>314</v>
      </c>
      <c r="D553" s="40" t="s">
        <v>133</v>
      </c>
      <c r="E553" s="40" t="s">
        <v>224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1267</v>
      </c>
      <c r="B554" s="316" t="s">
        <v>1511</v>
      </c>
      <c r="C554" s="40" t="s">
        <v>314</v>
      </c>
      <c r="D554" s="40" t="s">
        <v>133</v>
      </c>
      <c r="E554" s="40" t="s">
        <v>224</v>
      </c>
      <c r="F554" s="2">
        <v>903</v>
      </c>
      <c r="G554" s="10">
        <f>G553</f>
        <v>824.3</v>
      </c>
      <c r="H554" s="10">
        <f>H553</f>
        <v>824.3</v>
      </c>
    </row>
    <row r="555" spans="1:8" s="210" customFormat="1" ht="47.25" x14ac:dyDescent="0.25">
      <c r="A555" s="270" t="s">
        <v>1436</v>
      </c>
      <c r="B555" s="24" t="s">
        <v>1435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10" customFormat="1" ht="15.75" x14ac:dyDescent="0.25">
      <c r="A556" s="73" t="s">
        <v>313</v>
      </c>
      <c r="B556" s="20" t="s">
        <v>1435</v>
      </c>
      <c r="C556" s="40" t="s">
        <v>314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10" customFormat="1" ht="15.75" x14ac:dyDescent="0.25">
      <c r="A557" s="73" t="s">
        <v>315</v>
      </c>
      <c r="B557" s="20" t="s">
        <v>1435</v>
      </c>
      <c r="C557" s="40" t="s">
        <v>314</v>
      </c>
      <c r="D557" s="40" t="s">
        <v>133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10" customFormat="1" ht="63" x14ac:dyDescent="0.25">
      <c r="A558" s="271" t="s">
        <v>1398</v>
      </c>
      <c r="B558" s="20" t="s">
        <v>1434</v>
      </c>
      <c r="C558" s="40" t="s">
        <v>314</v>
      </c>
      <c r="D558" s="40" t="s">
        <v>133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10" customFormat="1" ht="31.5" x14ac:dyDescent="0.25">
      <c r="A559" s="25" t="s">
        <v>146</v>
      </c>
      <c r="B559" s="20" t="s">
        <v>1434</v>
      </c>
      <c r="C559" s="40" t="s">
        <v>314</v>
      </c>
      <c r="D559" s="40" t="s">
        <v>133</v>
      </c>
      <c r="E559" s="40" t="s">
        <v>147</v>
      </c>
      <c r="F559" s="2"/>
      <c r="G559" s="10">
        <f t="shared" si="77"/>
        <v>2296.558</v>
      </c>
      <c r="H559" s="10">
        <f t="shared" si="77"/>
        <v>0</v>
      </c>
    </row>
    <row r="560" spans="1:8" s="210" customFormat="1" ht="47.25" x14ac:dyDescent="0.25">
      <c r="A560" s="25" t="s">
        <v>148</v>
      </c>
      <c r="B560" s="20" t="s">
        <v>1434</v>
      </c>
      <c r="C560" s="40" t="s">
        <v>314</v>
      </c>
      <c r="D560" s="40" t="s">
        <v>133</v>
      </c>
      <c r="E560" s="40" t="s">
        <v>149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10" customFormat="1" ht="47.25" x14ac:dyDescent="0.25">
      <c r="A561" s="25" t="s">
        <v>1267</v>
      </c>
      <c r="B561" s="20" t="s">
        <v>1434</v>
      </c>
      <c r="C561" s="40" t="s">
        <v>314</v>
      </c>
      <c r="D561" s="40" t="s">
        <v>133</v>
      </c>
      <c r="E561" s="40" t="s">
        <v>149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327</v>
      </c>
      <c r="B562" s="7" t="s">
        <v>328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954</v>
      </c>
      <c r="B563" s="24" t="s">
        <v>958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313</v>
      </c>
      <c r="B564" s="40" t="s">
        <v>958</v>
      </c>
      <c r="C564" s="40" t="s">
        <v>314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315</v>
      </c>
      <c r="B565" s="40" t="s">
        <v>958</v>
      </c>
      <c r="C565" s="40" t="s">
        <v>314</v>
      </c>
      <c r="D565" s="40" t="s">
        <v>133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830</v>
      </c>
      <c r="B566" s="20" t="s">
        <v>959</v>
      </c>
      <c r="C566" s="40" t="s">
        <v>314</v>
      </c>
      <c r="D566" s="40" t="s">
        <v>133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142</v>
      </c>
      <c r="B567" s="20" t="s">
        <v>959</v>
      </c>
      <c r="C567" s="40" t="s">
        <v>314</v>
      </c>
      <c r="D567" s="40" t="s">
        <v>133</v>
      </c>
      <c r="E567" s="40" t="s">
        <v>143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223</v>
      </c>
      <c r="B568" s="20" t="s">
        <v>959</v>
      </c>
      <c r="C568" s="40" t="s">
        <v>314</v>
      </c>
      <c r="D568" s="40" t="s">
        <v>133</v>
      </c>
      <c r="E568" s="40" t="s">
        <v>224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1267</v>
      </c>
      <c r="B569" s="20" t="s">
        <v>959</v>
      </c>
      <c r="C569" s="40" t="s">
        <v>314</v>
      </c>
      <c r="D569" s="40" t="s">
        <v>133</v>
      </c>
      <c r="E569" s="40" t="s">
        <v>224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146</v>
      </c>
      <c r="B570" s="20" t="s">
        <v>959</v>
      </c>
      <c r="C570" s="40" t="s">
        <v>314</v>
      </c>
      <c r="D570" s="40" t="s">
        <v>133</v>
      </c>
      <c r="E570" s="40" t="s">
        <v>147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148</v>
      </c>
      <c r="B571" s="20" t="s">
        <v>959</v>
      </c>
      <c r="C571" s="40" t="s">
        <v>314</v>
      </c>
      <c r="D571" s="40" t="s">
        <v>133</v>
      </c>
      <c r="E571" s="40" t="s">
        <v>149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1267</v>
      </c>
      <c r="B572" s="20" t="s">
        <v>959</v>
      </c>
      <c r="C572" s="40" t="s">
        <v>314</v>
      </c>
      <c r="D572" s="40" t="s">
        <v>133</v>
      </c>
      <c r="E572" s="40" t="s">
        <v>149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150</v>
      </c>
      <c r="B573" s="20" t="s">
        <v>959</v>
      </c>
      <c r="C573" s="40" t="s">
        <v>314</v>
      </c>
      <c r="D573" s="40" t="s">
        <v>133</v>
      </c>
      <c r="E573" s="40" t="s">
        <v>160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152</v>
      </c>
      <c r="B574" s="20" t="s">
        <v>959</v>
      </c>
      <c r="C574" s="40" t="s">
        <v>314</v>
      </c>
      <c r="D574" s="40" t="s">
        <v>133</v>
      </c>
      <c r="E574" s="40" t="s">
        <v>153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1267</v>
      </c>
      <c r="B575" s="20" t="s">
        <v>959</v>
      </c>
      <c r="C575" s="40" t="s">
        <v>314</v>
      </c>
      <c r="D575" s="40" t="s">
        <v>133</v>
      </c>
      <c r="E575" s="40" t="s">
        <v>153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971</v>
      </c>
      <c r="B576" s="24" t="s">
        <v>960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313</v>
      </c>
      <c r="B577" s="40" t="s">
        <v>960</v>
      </c>
      <c r="C577" s="40" t="s">
        <v>314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315</v>
      </c>
      <c r="B578" s="40" t="s">
        <v>960</v>
      </c>
      <c r="C578" s="40" t="s">
        <v>314</v>
      </c>
      <c r="D578" s="40" t="s">
        <v>133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864</v>
      </c>
      <c r="B579" s="20" t="s">
        <v>961</v>
      </c>
      <c r="C579" s="40" t="s">
        <v>314</v>
      </c>
      <c r="D579" s="40" t="s">
        <v>133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146</v>
      </c>
      <c r="B580" s="20" t="s">
        <v>961</v>
      </c>
      <c r="C580" s="40" t="s">
        <v>314</v>
      </c>
      <c r="D580" s="40" t="s">
        <v>133</v>
      </c>
      <c r="E580" s="40" t="s">
        <v>147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148</v>
      </c>
      <c r="B581" s="20" t="s">
        <v>961</v>
      </c>
      <c r="C581" s="40" t="s">
        <v>314</v>
      </c>
      <c r="D581" s="40" t="s">
        <v>133</v>
      </c>
      <c r="E581" s="40" t="s">
        <v>149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1267</v>
      </c>
      <c r="B582" s="20" t="s">
        <v>961</v>
      </c>
      <c r="C582" s="40" t="s">
        <v>314</v>
      </c>
      <c r="D582" s="40" t="s">
        <v>133</v>
      </c>
      <c r="E582" s="40" t="s">
        <v>149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1074</v>
      </c>
      <c r="B583" s="24" t="s">
        <v>962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313</v>
      </c>
      <c r="B584" s="40" t="s">
        <v>962</v>
      </c>
      <c r="C584" s="40" t="s">
        <v>314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315</v>
      </c>
      <c r="B585" s="40" t="s">
        <v>962</v>
      </c>
      <c r="C585" s="40" t="s">
        <v>314</v>
      </c>
      <c r="D585" s="40" t="s">
        <v>133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883</v>
      </c>
      <c r="B586" s="20" t="s">
        <v>1250</v>
      </c>
      <c r="C586" s="40" t="s">
        <v>314</v>
      </c>
      <c r="D586" s="40" t="s">
        <v>133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142</v>
      </c>
      <c r="B587" s="20" t="s">
        <v>1250</v>
      </c>
      <c r="C587" s="40" t="s">
        <v>314</v>
      </c>
      <c r="D587" s="40" t="s">
        <v>133</v>
      </c>
      <c r="E587" s="40" t="s">
        <v>143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144</v>
      </c>
      <c r="B588" s="20" t="s">
        <v>1250</v>
      </c>
      <c r="C588" s="40" t="s">
        <v>314</v>
      </c>
      <c r="D588" s="40" t="s">
        <v>133</v>
      </c>
      <c r="E588" s="40" t="s">
        <v>224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1267</v>
      </c>
      <c r="B589" s="20" t="s">
        <v>1250</v>
      </c>
      <c r="C589" s="40" t="s">
        <v>314</v>
      </c>
      <c r="D589" s="40" t="s">
        <v>133</v>
      </c>
      <c r="E589" s="40" t="s">
        <v>224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1161</v>
      </c>
      <c r="B590" s="24" t="s">
        <v>963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313</v>
      </c>
      <c r="B591" s="40" t="s">
        <v>963</v>
      </c>
      <c r="C591" s="40" t="s">
        <v>314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315</v>
      </c>
      <c r="B592" s="40" t="s">
        <v>963</v>
      </c>
      <c r="C592" s="40" t="s">
        <v>314</v>
      </c>
      <c r="D592" s="40" t="s">
        <v>133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344</v>
      </c>
      <c r="B593" s="20" t="s">
        <v>1251</v>
      </c>
      <c r="C593" s="40" t="s">
        <v>314</v>
      </c>
      <c r="D593" s="40" t="s">
        <v>133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146</v>
      </c>
      <c r="B594" s="20" t="s">
        <v>1251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148</v>
      </c>
      <c r="B595" s="20" t="s">
        <v>1251</v>
      </c>
      <c r="C595" s="40" t="s">
        <v>314</v>
      </c>
      <c r="D595" s="40" t="s">
        <v>133</v>
      </c>
      <c r="E595" s="40" t="s">
        <v>149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1267</v>
      </c>
      <c r="B596" s="20" t="s">
        <v>1251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344</v>
      </c>
      <c r="B597" s="20" t="s">
        <v>1252</v>
      </c>
      <c r="C597" s="40" t="s">
        <v>314</v>
      </c>
      <c r="D597" s="40" t="s">
        <v>133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146</v>
      </c>
      <c r="B598" s="20" t="s">
        <v>1252</v>
      </c>
      <c r="C598" s="40" t="s">
        <v>314</v>
      </c>
      <c r="D598" s="40" t="s">
        <v>133</v>
      </c>
      <c r="E598" s="40" t="s">
        <v>147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148</v>
      </c>
      <c r="B599" s="20" t="s">
        <v>1252</v>
      </c>
      <c r="C599" s="40" t="s">
        <v>314</v>
      </c>
      <c r="D599" s="40" t="s">
        <v>133</v>
      </c>
      <c r="E599" s="40" t="s">
        <v>149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1267</v>
      </c>
      <c r="B600" s="20" t="s">
        <v>1252</v>
      </c>
      <c r="C600" s="40" t="s">
        <v>314</v>
      </c>
      <c r="D600" s="40" t="s">
        <v>133</v>
      </c>
      <c r="E600" s="40" t="s">
        <v>149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23" t="s">
        <v>969</v>
      </c>
      <c r="B601" s="24" t="s">
        <v>1253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313</v>
      </c>
      <c r="B602" s="40" t="s">
        <v>1253</v>
      </c>
      <c r="C602" s="40" t="s">
        <v>314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315</v>
      </c>
      <c r="B603" s="40" t="s">
        <v>1253</v>
      </c>
      <c r="C603" s="40" t="s">
        <v>314</v>
      </c>
      <c r="D603" s="40" t="s">
        <v>133</v>
      </c>
      <c r="E603" s="40"/>
      <c r="F603" s="74"/>
      <c r="G603" s="10">
        <f>G608+G612+G604</f>
        <v>1596</v>
      </c>
      <c r="H603" s="313">
        <f>H608+H612+H604</f>
        <v>1596</v>
      </c>
    </row>
    <row r="604" spans="1:8" s="309" customFormat="1" ht="110.25" x14ac:dyDescent="0.25">
      <c r="A604" s="31" t="s">
        <v>308</v>
      </c>
      <c r="B604" s="316" t="s">
        <v>1512</v>
      </c>
      <c r="C604" s="324" t="s">
        <v>314</v>
      </c>
      <c r="D604" s="324" t="s">
        <v>133</v>
      </c>
      <c r="E604" s="324"/>
      <c r="F604" s="2"/>
      <c r="G604" s="313">
        <f>G605</f>
        <v>1276.3</v>
      </c>
      <c r="H604" s="313">
        <f>H605</f>
        <v>1276.3</v>
      </c>
    </row>
    <row r="605" spans="1:8" s="309" customFormat="1" ht="94.5" x14ac:dyDescent="0.25">
      <c r="A605" s="320" t="s">
        <v>142</v>
      </c>
      <c r="B605" s="316" t="s">
        <v>1512</v>
      </c>
      <c r="C605" s="324" t="s">
        <v>314</v>
      </c>
      <c r="D605" s="324" t="s">
        <v>133</v>
      </c>
      <c r="E605" s="324" t="s">
        <v>143</v>
      </c>
      <c r="F605" s="2"/>
      <c r="G605" s="313">
        <f>G606</f>
        <v>1276.3</v>
      </c>
      <c r="H605" s="313">
        <f>H606</f>
        <v>1276.3</v>
      </c>
    </row>
    <row r="606" spans="1:8" s="309" customFormat="1" ht="31.5" x14ac:dyDescent="0.25">
      <c r="A606" s="320" t="s">
        <v>223</v>
      </c>
      <c r="B606" s="316" t="s">
        <v>1512</v>
      </c>
      <c r="C606" s="324" t="s">
        <v>314</v>
      </c>
      <c r="D606" s="324" t="s">
        <v>133</v>
      </c>
      <c r="E606" s="324" t="s">
        <v>224</v>
      </c>
      <c r="F606" s="2"/>
      <c r="G606" s="313">
        <f>'пр.5.1.ведом.21-22'!G398</f>
        <v>1276.3</v>
      </c>
      <c r="H606" s="313">
        <f>'пр.5.1.ведом.21-22'!H398</f>
        <v>1276.3</v>
      </c>
    </row>
    <row r="607" spans="1:8" s="309" customFormat="1" ht="47.25" x14ac:dyDescent="0.25">
      <c r="A607" s="320" t="s">
        <v>1267</v>
      </c>
      <c r="B607" s="316" t="s">
        <v>1512</v>
      </c>
      <c r="C607" s="324" t="s">
        <v>314</v>
      </c>
      <c r="D607" s="324" t="s">
        <v>133</v>
      </c>
      <c r="E607" s="324" t="s">
        <v>224</v>
      </c>
      <c r="F607" s="2">
        <v>903</v>
      </c>
      <c r="G607" s="313">
        <f>G604</f>
        <v>1276.3</v>
      </c>
      <c r="H607" s="313">
        <f>H604</f>
        <v>1276.3</v>
      </c>
    </row>
    <row r="608" spans="1:8" ht="94.5" x14ac:dyDescent="0.25">
      <c r="A608" s="25" t="s">
        <v>346</v>
      </c>
      <c r="B608" s="20" t="s">
        <v>1254</v>
      </c>
      <c r="C608" s="40" t="s">
        <v>314</v>
      </c>
      <c r="D608" s="40" t="s">
        <v>133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142</v>
      </c>
      <c r="B609" s="20" t="s">
        <v>1254</v>
      </c>
      <c r="C609" s="40" t="s">
        <v>314</v>
      </c>
      <c r="D609" s="40" t="s">
        <v>133</v>
      </c>
      <c r="E609" s="40" t="s">
        <v>143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223</v>
      </c>
      <c r="B610" s="20" t="s">
        <v>1254</v>
      </c>
      <c r="C610" s="40" t="s">
        <v>314</v>
      </c>
      <c r="D610" s="40" t="s">
        <v>133</v>
      </c>
      <c r="E610" s="40" t="s">
        <v>224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1267</v>
      </c>
      <c r="B611" s="20" t="s">
        <v>1254</v>
      </c>
      <c r="C611" s="40" t="s">
        <v>314</v>
      </c>
      <c r="D611" s="40" t="s">
        <v>133</v>
      </c>
      <c r="E611" s="40" t="s">
        <v>224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308</v>
      </c>
      <c r="B612" s="20" t="s">
        <v>1255</v>
      </c>
      <c r="C612" s="40" t="s">
        <v>314</v>
      </c>
      <c r="D612" s="40" t="s">
        <v>133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142</v>
      </c>
      <c r="B613" s="20" t="s">
        <v>1255</v>
      </c>
      <c r="C613" s="40" t="s">
        <v>314</v>
      </c>
      <c r="D613" s="40" t="s">
        <v>133</v>
      </c>
      <c r="E613" s="40" t="s">
        <v>143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223</v>
      </c>
      <c r="B614" s="20" t="s">
        <v>1255</v>
      </c>
      <c r="C614" s="40" t="s">
        <v>314</v>
      </c>
      <c r="D614" s="40" t="s">
        <v>133</v>
      </c>
      <c r="E614" s="40" t="s">
        <v>224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1267</v>
      </c>
      <c r="B615" s="20" t="s">
        <v>1255</v>
      </c>
      <c r="C615" s="40" t="s">
        <v>314</v>
      </c>
      <c r="D615" s="40" t="s">
        <v>133</v>
      </c>
      <c r="E615" s="40" t="s">
        <v>224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283</v>
      </c>
      <c r="B616" s="24" t="s">
        <v>284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939</v>
      </c>
      <c r="B617" s="24" t="s">
        <v>940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278</v>
      </c>
      <c r="B618" s="20" t="s">
        <v>940</v>
      </c>
      <c r="C618" s="40" t="s">
        <v>279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280</v>
      </c>
      <c r="B619" s="20" t="s">
        <v>940</v>
      </c>
      <c r="C619" s="40" t="s">
        <v>279</v>
      </c>
      <c r="D619" s="40" t="s">
        <v>230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830</v>
      </c>
      <c r="B620" s="20" t="s">
        <v>938</v>
      </c>
      <c r="C620" s="40" t="s">
        <v>279</v>
      </c>
      <c r="D620" s="40" t="s">
        <v>230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142</v>
      </c>
      <c r="B621" s="20" t="s">
        <v>938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357</v>
      </c>
      <c r="B622" s="20" t="s">
        <v>938</v>
      </c>
      <c r="C622" s="40" t="s">
        <v>279</v>
      </c>
      <c r="D622" s="40" t="s">
        <v>230</v>
      </c>
      <c r="E622" s="20" t="s">
        <v>224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1267</v>
      </c>
      <c r="B623" s="20" t="s">
        <v>938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146</v>
      </c>
      <c r="B624" s="20" t="s">
        <v>938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148</v>
      </c>
      <c r="B625" s="20" t="s">
        <v>938</v>
      </c>
      <c r="C625" s="40" t="s">
        <v>279</v>
      </c>
      <c r="D625" s="40" t="s">
        <v>230</v>
      </c>
      <c r="E625" s="20" t="s">
        <v>149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1267</v>
      </c>
      <c r="B626" s="20" t="s">
        <v>938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150</v>
      </c>
      <c r="B627" s="20" t="s">
        <v>938</v>
      </c>
      <c r="C627" s="40" t="s">
        <v>279</v>
      </c>
      <c r="D627" s="40" t="s">
        <v>230</v>
      </c>
      <c r="E627" s="20" t="s">
        <v>160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725</v>
      </c>
      <c r="B628" s="20" t="s">
        <v>938</v>
      </c>
      <c r="C628" s="40" t="s">
        <v>279</v>
      </c>
      <c r="D628" s="40" t="s">
        <v>230</v>
      </c>
      <c r="E628" s="20" t="s">
        <v>153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1267</v>
      </c>
      <c r="B629" s="20" t="s">
        <v>938</v>
      </c>
      <c r="C629" s="40" t="s">
        <v>279</v>
      </c>
      <c r="D629" s="40" t="s">
        <v>230</v>
      </c>
      <c r="E629" s="20" t="s">
        <v>153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21" t="s">
        <v>1187</v>
      </c>
      <c r="B630" s="24" t="s">
        <v>942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278</v>
      </c>
      <c r="B631" s="20" t="s">
        <v>942</v>
      </c>
      <c r="C631" s="40" t="s">
        <v>279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280</v>
      </c>
      <c r="B632" s="20" t="s">
        <v>942</v>
      </c>
      <c r="C632" s="40" t="s">
        <v>279</v>
      </c>
      <c r="D632" s="40" t="s">
        <v>230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07" t="s">
        <v>829</v>
      </c>
      <c r="B633" s="20" t="s">
        <v>941</v>
      </c>
      <c r="C633" s="40" t="s">
        <v>279</v>
      </c>
      <c r="D633" s="40" t="s">
        <v>230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263</v>
      </c>
      <c r="B634" s="20" t="s">
        <v>941</v>
      </c>
      <c r="C634" s="40" t="s">
        <v>279</v>
      </c>
      <c r="D634" s="40" t="s">
        <v>230</v>
      </c>
      <c r="E634" s="20" t="s">
        <v>264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863</v>
      </c>
      <c r="B635" s="20" t="s">
        <v>941</v>
      </c>
      <c r="C635" s="40" t="s">
        <v>279</v>
      </c>
      <c r="D635" s="40" t="s">
        <v>230</v>
      </c>
      <c r="E635" s="20" t="s">
        <v>862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1267</v>
      </c>
      <c r="B636" s="20" t="s">
        <v>941</v>
      </c>
      <c r="C636" s="40" t="s">
        <v>279</v>
      </c>
      <c r="D636" s="40" t="s">
        <v>230</v>
      </c>
      <c r="E636" s="20" t="s">
        <v>862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26" t="s">
        <v>1166</v>
      </c>
      <c r="B637" s="24" t="s">
        <v>943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278</v>
      </c>
      <c r="B638" s="20" t="s">
        <v>943</v>
      </c>
      <c r="C638" s="40" t="s">
        <v>279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280</v>
      </c>
      <c r="B639" s="20" t="s">
        <v>943</v>
      </c>
      <c r="C639" s="40" t="s">
        <v>279</v>
      </c>
      <c r="D639" s="40" t="s">
        <v>230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858</v>
      </c>
      <c r="B640" s="20" t="s">
        <v>944</v>
      </c>
      <c r="C640" s="40" t="s">
        <v>279</v>
      </c>
      <c r="D640" s="40" t="s">
        <v>230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142</v>
      </c>
      <c r="B641" s="20" t="s">
        <v>944</v>
      </c>
      <c r="C641" s="40" t="s">
        <v>279</v>
      </c>
      <c r="D641" s="40" t="s">
        <v>230</v>
      </c>
      <c r="E641" s="20" t="s">
        <v>143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357</v>
      </c>
      <c r="B642" s="20" t="s">
        <v>944</v>
      </c>
      <c r="C642" s="40" t="s">
        <v>279</v>
      </c>
      <c r="D642" s="40" t="s">
        <v>230</v>
      </c>
      <c r="E642" s="20" t="s">
        <v>224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1267</v>
      </c>
      <c r="B643" s="20" t="s">
        <v>944</v>
      </c>
      <c r="C643" s="40" t="s">
        <v>279</v>
      </c>
      <c r="D643" s="40" t="s">
        <v>230</v>
      </c>
      <c r="E643" s="20" t="s">
        <v>224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146</v>
      </c>
      <c r="B644" s="20" t="s">
        <v>944</v>
      </c>
      <c r="C644" s="40" t="s">
        <v>279</v>
      </c>
      <c r="D644" s="40" t="s">
        <v>230</v>
      </c>
      <c r="E644" s="20" t="s">
        <v>147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148</v>
      </c>
      <c r="B645" s="20" t="s">
        <v>944</v>
      </c>
      <c r="C645" s="40" t="s">
        <v>279</v>
      </c>
      <c r="D645" s="40" t="s">
        <v>230</v>
      </c>
      <c r="E645" s="20" t="s">
        <v>149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1267</v>
      </c>
      <c r="B646" s="20" t="s">
        <v>944</v>
      </c>
      <c r="C646" s="40" t="s">
        <v>279</v>
      </c>
      <c r="D646" s="40" t="s">
        <v>230</v>
      </c>
      <c r="E646" s="20" t="s">
        <v>149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1074</v>
      </c>
      <c r="B647" s="24" t="s">
        <v>949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278</v>
      </c>
      <c r="B648" s="20" t="s">
        <v>949</v>
      </c>
      <c r="C648" s="40" t="s">
        <v>279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280</v>
      </c>
      <c r="B649" s="20" t="s">
        <v>949</v>
      </c>
      <c r="C649" s="40" t="s">
        <v>279</v>
      </c>
      <c r="D649" s="40" t="s">
        <v>230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883</v>
      </c>
      <c r="B650" s="20" t="s">
        <v>1261</v>
      </c>
      <c r="C650" s="40" t="s">
        <v>279</v>
      </c>
      <c r="D650" s="40" t="s">
        <v>230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142</v>
      </c>
      <c r="B651" s="20" t="s">
        <v>1261</v>
      </c>
      <c r="C651" s="40" t="s">
        <v>279</v>
      </c>
      <c r="D651" s="40" t="s">
        <v>230</v>
      </c>
      <c r="E651" s="20" t="s">
        <v>143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144</v>
      </c>
      <c r="B652" s="20" t="s">
        <v>1261</v>
      </c>
      <c r="C652" s="40" t="s">
        <v>279</v>
      </c>
      <c r="D652" s="40" t="s">
        <v>230</v>
      </c>
      <c r="E652" s="20" t="s">
        <v>224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1267</v>
      </c>
      <c r="B653" s="20" t="s">
        <v>1261</v>
      </c>
      <c r="C653" s="40" t="s">
        <v>279</v>
      </c>
      <c r="D653" s="40" t="s">
        <v>230</v>
      </c>
      <c r="E653" s="20" t="s">
        <v>224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969</v>
      </c>
      <c r="B654" s="24" t="s">
        <v>1262</v>
      </c>
      <c r="C654" s="7"/>
      <c r="D654" s="7"/>
      <c r="E654" s="24"/>
      <c r="F654" s="3"/>
      <c r="G654" s="59">
        <f>G661+G665+G669+G657</f>
        <v>1001.7</v>
      </c>
      <c r="H654" s="325">
        <f>H661+H665+H669+H657</f>
        <v>1001.7</v>
      </c>
    </row>
    <row r="655" spans="1:8" ht="15.75" x14ac:dyDescent="0.25">
      <c r="A655" s="25" t="s">
        <v>278</v>
      </c>
      <c r="B655" s="20" t="s">
        <v>1262</v>
      </c>
      <c r="C655" s="40" t="s">
        <v>279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280</v>
      </c>
      <c r="B656" s="20" t="s">
        <v>1262</v>
      </c>
      <c r="C656" s="40" t="s">
        <v>279</v>
      </c>
      <c r="D656" s="40" t="s">
        <v>230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09" customFormat="1" ht="110.25" x14ac:dyDescent="0.25">
      <c r="A657" s="31" t="s">
        <v>308</v>
      </c>
      <c r="B657" s="316" t="s">
        <v>1508</v>
      </c>
      <c r="C657" s="324" t="s">
        <v>279</v>
      </c>
      <c r="D657" s="324" t="s">
        <v>230</v>
      </c>
      <c r="E657" s="316"/>
      <c r="F657" s="2"/>
      <c r="G657" s="313">
        <f>G658</f>
        <v>602.5</v>
      </c>
      <c r="H657" s="313">
        <f>H658</f>
        <v>602.5</v>
      </c>
    </row>
    <row r="658" spans="1:8" s="309" customFormat="1" ht="94.5" x14ac:dyDescent="0.25">
      <c r="A658" s="320" t="s">
        <v>142</v>
      </c>
      <c r="B658" s="316" t="s">
        <v>1508</v>
      </c>
      <c r="C658" s="324" t="s">
        <v>279</v>
      </c>
      <c r="D658" s="324" t="s">
        <v>230</v>
      </c>
      <c r="E658" s="316" t="s">
        <v>143</v>
      </c>
      <c r="F658" s="2"/>
      <c r="G658" s="313">
        <f>G659</f>
        <v>602.5</v>
      </c>
      <c r="H658" s="313">
        <f>H659</f>
        <v>602.5</v>
      </c>
    </row>
    <row r="659" spans="1:8" s="309" customFormat="1" ht="31.5" x14ac:dyDescent="0.25">
      <c r="A659" s="46" t="s">
        <v>357</v>
      </c>
      <c r="B659" s="316" t="s">
        <v>1508</v>
      </c>
      <c r="C659" s="324" t="s">
        <v>279</v>
      </c>
      <c r="D659" s="324" t="s">
        <v>230</v>
      </c>
      <c r="E659" s="316" t="s">
        <v>224</v>
      </c>
      <c r="F659" s="2"/>
      <c r="G659" s="313">
        <f>'пр.5.1.ведом.21-22'!G306</f>
        <v>602.5</v>
      </c>
      <c r="H659" s="313">
        <f>'пр.5.1.ведом.21-22'!H306</f>
        <v>602.5</v>
      </c>
    </row>
    <row r="660" spans="1:8" s="309" customFormat="1" ht="47.25" x14ac:dyDescent="0.25">
      <c r="A660" s="320" t="s">
        <v>1267</v>
      </c>
      <c r="B660" s="316" t="s">
        <v>1508</v>
      </c>
      <c r="C660" s="324" t="s">
        <v>279</v>
      </c>
      <c r="D660" s="324" t="s">
        <v>230</v>
      </c>
      <c r="E660" s="316" t="s">
        <v>224</v>
      </c>
      <c r="F660" s="2">
        <v>903</v>
      </c>
      <c r="G660" s="313">
        <f>G657</f>
        <v>602.5</v>
      </c>
      <c r="H660" s="313">
        <f>H657</f>
        <v>602.5</v>
      </c>
    </row>
    <row r="661" spans="1:8" ht="78.75" x14ac:dyDescent="0.25">
      <c r="A661" s="31" t="s">
        <v>304</v>
      </c>
      <c r="B661" s="20" t="s">
        <v>1263</v>
      </c>
      <c r="C661" s="40" t="s">
        <v>279</v>
      </c>
      <c r="D661" s="40" t="s">
        <v>230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142</v>
      </c>
      <c r="B662" s="20" t="s">
        <v>1263</v>
      </c>
      <c r="C662" s="40" t="s">
        <v>279</v>
      </c>
      <c r="D662" s="40" t="s">
        <v>230</v>
      </c>
      <c r="E662" s="20" t="s">
        <v>143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357</v>
      </c>
      <c r="B663" s="20" t="s">
        <v>1263</v>
      </c>
      <c r="C663" s="40" t="s">
        <v>279</v>
      </c>
      <c r="D663" s="40" t="s">
        <v>230</v>
      </c>
      <c r="E663" s="20" t="s">
        <v>224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1267</v>
      </c>
      <c r="B664" s="20" t="s">
        <v>1263</v>
      </c>
      <c r="C664" s="40" t="s">
        <v>279</v>
      </c>
      <c r="D664" s="40" t="s">
        <v>230</v>
      </c>
      <c r="E664" s="20" t="s">
        <v>224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306</v>
      </c>
      <c r="B665" s="20" t="s">
        <v>1264</v>
      </c>
      <c r="C665" s="40" t="s">
        <v>279</v>
      </c>
      <c r="D665" s="40" t="s">
        <v>230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142</v>
      </c>
      <c r="B666" s="20" t="s">
        <v>1264</v>
      </c>
      <c r="C666" s="40" t="s">
        <v>279</v>
      </c>
      <c r="D666" s="40" t="s">
        <v>230</v>
      </c>
      <c r="E666" s="20" t="s">
        <v>143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357</v>
      </c>
      <c r="B667" s="20" t="s">
        <v>1264</v>
      </c>
      <c r="C667" s="40" t="s">
        <v>279</v>
      </c>
      <c r="D667" s="40" t="s">
        <v>230</v>
      </c>
      <c r="E667" s="20" t="s">
        <v>224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1267</v>
      </c>
      <c r="B668" s="20" t="s">
        <v>1264</v>
      </c>
      <c r="C668" s="40" t="s">
        <v>279</v>
      </c>
      <c r="D668" s="40" t="s">
        <v>230</v>
      </c>
      <c r="E668" s="20" t="s">
        <v>224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308</v>
      </c>
      <c r="B669" s="20" t="s">
        <v>1265</v>
      </c>
      <c r="C669" s="40" t="s">
        <v>279</v>
      </c>
      <c r="D669" s="40" t="s">
        <v>230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142</v>
      </c>
      <c r="B670" s="20" t="s">
        <v>1265</v>
      </c>
      <c r="C670" s="40" t="s">
        <v>279</v>
      </c>
      <c r="D670" s="40" t="s">
        <v>230</v>
      </c>
      <c r="E670" s="20" t="s">
        <v>143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357</v>
      </c>
      <c r="B671" s="20" t="s">
        <v>1265</v>
      </c>
      <c r="C671" s="40" t="s">
        <v>279</v>
      </c>
      <c r="D671" s="40" t="s">
        <v>230</v>
      </c>
      <c r="E671" s="20" t="s">
        <v>224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1267</v>
      </c>
      <c r="B672" s="20" t="s">
        <v>1265</v>
      </c>
      <c r="C672" s="40" t="s">
        <v>279</v>
      </c>
      <c r="D672" s="40" t="s">
        <v>230</v>
      </c>
      <c r="E672" s="20" t="s">
        <v>224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819</v>
      </c>
      <c r="B673" s="7" t="s">
        <v>339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1189</v>
      </c>
      <c r="B674" s="7" t="s">
        <v>1023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405</v>
      </c>
      <c r="B675" s="40" t="s">
        <v>1023</v>
      </c>
      <c r="C675" s="40" t="s">
        <v>249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584</v>
      </c>
      <c r="B676" s="40" t="s">
        <v>1023</v>
      </c>
      <c r="C676" s="40" t="s">
        <v>249</v>
      </c>
      <c r="D676" s="40" t="s">
        <v>249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1271</v>
      </c>
      <c r="B677" s="20" t="s">
        <v>1190</v>
      </c>
      <c r="C677" s="40" t="s">
        <v>249</v>
      </c>
      <c r="D677" s="40" t="s">
        <v>249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146</v>
      </c>
      <c r="B678" s="20" t="s">
        <v>1190</v>
      </c>
      <c r="C678" s="40" t="s">
        <v>249</v>
      </c>
      <c r="D678" s="40" t="s">
        <v>249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148</v>
      </c>
      <c r="B679" s="20" t="s">
        <v>1190</v>
      </c>
      <c r="C679" s="40" t="s">
        <v>249</v>
      </c>
      <c r="D679" s="40" t="s">
        <v>249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1302</v>
      </c>
      <c r="B680" s="20" t="s">
        <v>1190</v>
      </c>
      <c r="C680" s="40" t="s">
        <v>249</v>
      </c>
      <c r="D680" s="40" t="s">
        <v>249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278</v>
      </c>
      <c r="B681" s="40" t="s">
        <v>1023</v>
      </c>
      <c r="C681" s="40" t="s">
        <v>279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419</v>
      </c>
      <c r="B682" s="40" t="s">
        <v>1023</v>
      </c>
      <c r="C682" s="40" t="s">
        <v>279</v>
      </c>
      <c r="D682" s="40" t="s">
        <v>133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1272</v>
      </c>
      <c r="B683" s="20" t="s">
        <v>1024</v>
      </c>
      <c r="C683" s="40" t="s">
        <v>279</v>
      </c>
      <c r="D683" s="40" t="s">
        <v>133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287</v>
      </c>
      <c r="B684" s="20" t="s">
        <v>1024</v>
      </c>
      <c r="C684" s="40" t="s">
        <v>279</v>
      </c>
      <c r="D684" s="40" t="s">
        <v>133</v>
      </c>
      <c r="E684" s="40" t="s">
        <v>288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289</v>
      </c>
      <c r="B685" s="20" t="s">
        <v>1024</v>
      </c>
      <c r="C685" s="40" t="s">
        <v>279</v>
      </c>
      <c r="D685" s="40" t="s">
        <v>133</v>
      </c>
      <c r="E685" s="40" t="s">
        <v>290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418</v>
      </c>
      <c r="B686" s="20" t="s">
        <v>1024</v>
      </c>
      <c r="C686" s="40" t="s">
        <v>279</v>
      </c>
      <c r="D686" s="40" t="s">
        <v>133</v>
      </c>
      <c r="E686" s="40" t="s">
        <v>290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440</v>
      </c>
      <c r="B687" s="40" t="s">
        <v>1023</v>
      </c>
      <c r="C687" s="40" t="s">
        <v>279</v>
      </c>
      <c r="D687" s="40" t="s">
        <v>228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1272</v>
      </c>
      <c r="B688" s="20" t="s">
        <v>1024</v>
      </c>
      <c r="C688" s="40" t="s">
        <v>279</v>
      </c>
      <c r="D688" s="40" t="s">
        <v>228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287</v>
      </c>
      <c r="B689" s="20" t="s">
        <v>1024</v>
      </c>
      <c r="C689" s="40" t="s">
        <v>279</v>
      </c>
      <c r="D689" s="40" t="s">
        <v>228</v>
      </c>
      <c r="E689" s="40" t="s">
        <v>288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289</v>
      </c>
      <c r="B690" s="20" t="s">
        <v>1024</v>
      </c>
      <c r="C690" s="40" t="s">
        <v>279</v>
      </c>
      <c r="D690" s="40" t="s">
        <v>228</v>
      </c>
      <c r="E690" s="40" t="s">
        <v>290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418</v>
      </c>
      <c r="B691" s="20" t="s">
        <v>1024</v>
      </c>
      <c r="C691" s="40" t="s">
        <v>279</v>
      </c>
      <c r="D691" s="40" t="s">
        <v>228</v>
      </c>
      <c r="E691" s="40" t="s">
        <v>290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313</v>
      </c>
      <c r="B692" s="20" t="s">
        <v>1023</v>
      </c>
      <c r="C692" s="40" t="s">
        <v>314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315</v>
      </c>
      <c r="B693" s="20" t="s">
        <v>1023</v>
      </c>
      <c r="C693" s="40" t="s">
        <v>314</v>
      </c>
      <c r="D693" s="40" t="s">
        <v>133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1271</v>
      </c>
      <c r="B694" s="20" t="s">
        <v>1190</v>
      </c>
      <c r="C694" s="40" t="s">
        <v>314</v>
      </c>
      <c r="D694" s="40" t="s">
        <v>133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146</v>
      </c>
      <c r="B695" s="20" t="s">
        <v>1190</v>
      </c>
      <c r="C695" s="40" t="s">
        <v>314</v>
      </c>
      <c r="D695" s="40" t="s">
        <v>133</v>
      </c>
      <c r="E695" s="40" t="s">
        <v>147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148</v>
      </c>
      <c r="B696" s="20" t="s">
        <v>1190</v>
      </c>
      <c r="C696" s="40" t="s">
        <v>314</v>
      </c>
      <c r="D696" s="40" t="s">
        <v>133</v>
      </c>
      <c r="E696" s="40" t="s">
        <v>149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276</v>
      </c>
      <c r="B697" s="20" t="s">
        <v>1190</v>
      </c>
      <c r="C697" s="40" t="s">
        <v>314</v>
      </c>
      <c r="D697" s="40" t="s">
        <v>133</v>
      </c>
      <c r="E697" s="40" t="s">
        <v>149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505</v>
      </c>
      <c r="B698" s="40" t="s">
        <v>1023</v>
      </c>
      <c r="C698" s="40" t="s">
        <v>506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507</v>
      </c>
      <c r="B699" s="40" t="s">
        <v>1023</v>
      </c>
      <c r="C699" s="40" t="s">
        <v>506</v>
      </c>
      <c r="D699" s="40" t="s">
        <v>133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1272</v>
      </c>
      <c r="B700" s="40" t="s">
        <v>1024</v>
      </c>
      <c r="C700" s="40" t="s">
        <v>506</v>
      </c>
      <c r="D700" s="40" t="s">
        <v>133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287</v>
      </c>
      <c r="B701" s="40" t="s">
        <v>1024</v>
      </c>
      <c r="C701" s="40" t="s">
        <v>506</v>
      </c>
      <c r="D701" s="40" t="s">
        <v>133</v>
      </c>
      <c r="E701" s="40" t="s">
        <v>288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289</v>
      </c>
      <c r="B702" s="40" t="s">
        <v>1024</v>
      </c>
      <c r="C702" s="40" t="s">
        <v>506</v>
      </c>
      <c r="D702" s="40" t="s">
        <v>133</v>
      </c>
      <c r="E702" s="40" t="s">
        <v>290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495</v>
      </c>
      <c r="B703" s="40" t="s">
        <v>1024</v>
      </c>
      <c r="C703" s="40" t="s">
        <v>506</v>
      </c>
      <c r="D703" s="40" t="s">
        <v>133</v>
      </c>
      <c r="E703" s="40" t="s">
        <v>290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557</v>
      </c>
      <c r="B704" s="7" t="s">
        <v>558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559</v>
      </c>
      <c r="B705" s="7" t="s">
        <v>560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1120</v>
      </c>
      <c r="B706" s="7" t="s">
        <v>1118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405</v>
      </c>
      <c r="B707" s="40" t="s">
        <v>1118</v>
      </c>
      <c r="C707" s="40" t="s">
        <v>249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556</v>
      </c>
      <c r="B708" s="40" t="s">
        <v>1118</v>
      </c>
      <c r="C708" s="40" t="s">
        <v>249</v>
      </c>
      <c r="D708" s="40" t="s">
        <v>230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561</v>
      </c>
      <c r="B709" s="20" t="s">
        <v>1119</v>
      </c>
      <c r="C709" s="40" t="s">
        <v>249</v>
      </c>
      <c r="D709" s="40" t="s">
        <v>230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146</v>
      </c>
      <c r="B710" s="20" t="s">
        <v>1119</v>
      </c>
      <c r="C710" s="40" t="s">
        <v>249</v>
      </c>
      <c r="D710" s="40" t="s">
        <v>230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148</v>
      </c>
      <c r="B711" s="20" t="s">
        <v>1119</v>
      </c>
      <c r="C711" s="40" t="s">
        <v>249</v>
      </c>
      <c r="D711" s="40" t="s">
        <v>230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638</v>
      </c>
      <c r="B712" s="20" t="s">
        <v>1119</v>
      </c>
      <c r="C712" s="40" t="s">
        <v>249</v>
      </c>
      <c r="D712" s="40" t="s">
        <v>230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563</v>
      </c>
      <c r="B713" s="20" t="s">
        <v>1121</v>
      </c>
      <c r="C713" s="40" t="s">
        <v>249</v>
      </c>
      <c r="D713" s="40" t="s">
        <v>230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146</v>
      </c>
      <c r="B714" s="20" t="s">
        <v>1121</v>
      </c>
      <c r="C714" s="40" t="s">
        <v>249</v>
      </c>
      <c r="D714" s="40" t="s">
        <v>230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148</v>
      </c>
      <c r="B715" s="20" t="s">
        <v>1121</v>
      </c>
      <c r="C715" s="40" t="s">
        <v>249</v>
      </c>
      <c r="D715" s="40" t="s">
        <v>230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638</v>
      </c>
      <c r="B716" s="20" t="s">
        <v>1121</v>
      </c>
      <c r="C716" s="40" t="s">
        <v>249</v>
      </c>
      <c r="D716" s="40" t="s">
        <v>230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150</v>
      </c>
      <c r="B717" s="20" t="s">
        <v>1121</v>
      </c>
      <c r="C717" s="40" t="s">
        <v>249</v>
      </c>
      <c r="D717" s="40" t="s">
        <v>230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880</v>
      </c>
      <c r="B718" s="20" t="s">
        <v>1121</v>
      </c>
      <c r="C718" s="40" t="s">
        <v>249</v>
      </c>
      <c r="D718" s="40" t="s">
        <v>230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638</v>
      </c>
      <c r="B719" s="20" t="s">
        <v>1121</v>
      </c>
      <c r="C719" s="40" t="s">
        <v>249</v>
      </c>
      <c r="D719" s="40" t="s">
        <v>230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150</v>
      </c>
      <c r="B720" s="20" t="s">
        <v>1121</v>
      </c>
      <c r="C720" s="40" t="s">
        <v>249</v>
      </c>
      <c r="D720" s="40" t="s">
        <v>230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1268</v>
      </c>
      <c r="B721" s="20" t="s">
        <v>1121</v>
      </c>
      <c r="C721" s="40" t="s">
        <v>249</v>
      </c>
      <c r="D721" s="40" t="s">
        <v>230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638</v>
      </c>
      <c r="B722" s="20" t="s">
        <v>1121</v>
      </c>
      <c r="C722" s="40" t="s">
        <v>249</v>
      </c>
      <c r="D722" s="40" t="s">
        <v>230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565</v>
      </c>
      <c r="B723" s="20" t="s">
        <v>1122</v>
      </c>
      <c r="C723" s="40" t="s">
        <v>249</v>
      </c>
      <c r="D723" s="40" t="s">
        <v>230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146</v>
      </c>
      <c r="B724" s="20" t="s">
        <v>1122</v>
      </c>
      <c r="C724" s="40" t="s">
        <v>249</v>
      </c>
      <c r="D724" s="40" t="s">
        <v>230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148</v>
      </c>
      <c r="B725" s="20" t="s">
        <v>1122</v>
      </c>
      <c r="C725" s="40" t="s">
        <v>249</v>
      </c>
      <c r="D725" s="40" t="s">
        <v>230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638</v>
      </c>
      <c r="B726" s="20" t="s">
        <v>1122</v>
      </c>
      <c r="C726" s="40" t="s">
        <v>249</v>
      </c>
      <c r="D726" s="40" t="s">
        <v>230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567</v>
      </c>
      <c r="B727" s="7" t="s">
        <v>568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1138</v>
      </c>
      <c r="B728" s="7" t="s">
        <v>1123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405</v>
      </c>
      <c r="B729" s="40" t="s">
        <v>1123</v>
      </c>
      <c r="C729" s="40" t="s">
        <v>249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556</v>
      </c>
      <c r="B730" s="40" t="s">
        <v>1123</v>
      </c>
      <c r="C730" s="40" t="s">
        <v>249</v>
      </c>
      <c r="D730" s="40" t="s">
        <v>230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570</v>
      </c>
      <c r="B731" s="20" t="s">
        <v>1125</v>
      </c>
      <c r="C731" s="40" t="s">
        <v>249</v>
      </c>
      <c r="D731" s="40" t="s">
        <v>230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146</v>
      </c>
      <c r="B732" s="20" t="s">
        <v>1125</v>
      </c>
      <c r="C732" s="40" t="s">
        <v>249</v>
      </c>
      <c r="D732" s="40" t="s">
        <v>230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148</v>
      </c>
      <c r="B733" s="20" t="s">
        <v>1125</v>
      </c>
      <c r="C733" s="40" t="s">
        <v>249</v>
      </c>
      <c r="D733" s="40" t="s">
        <v>230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638</v>
      </c>
      <c r="B734" s="20" t="s">
        <v>1125</v>
      </c>
      <c r="C734" s="40" t="s">
        <v>249</v>
      </c>
      <c r="D734" s="40" t="s">
        <v>230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572</v>
      </c>
      <c r="B735" s="20" t="s">
        <v>1126</v>
      </c>
      <c r="C735" s="40" t="s">
        <v>249</v>
      </c>
      <c r="D735" s="40" t="s">
        <v>230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146</v>
      </c>
      <c r="B736" s="20" t="s">
        <v>1126</v>
      </c>
      <c r="C736" s="40" t="s">
        <v>249</v>
      </c>
      <c r="D736" s="40" t="s">
        <v>230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148</v>
      </c>
      <c r="B737" s="20" t="s">
        <v>1126</v>
      </c>
      <c r="C737" s="40" t="s">
        <v>249</v>
      </c>
      <c r="D737" s="40" t="s">
        <v>230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638</v>
      </c>
      <c r="B738" s="20" t="s">
        <v>1126</v>
      </c>
      <c r="C738" s="40" t="s">
        <v>249</v>
      </c>
      <c r="D738" s="40" t="s">
        <v>230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150</v>
      </c>
      <c r="B739" s="20" t="s">
        <v>1126</v>
      </c>
      <c r="C739" s="40" t="s">
        <v>249</v>
      </c>
      <c r="D739" s="40" t="s">
        <v>230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10" customFormat="1" ht="15.75" x14ac:dyDescent="0.25">
      <c r="A740" s="25" t="s">
        <v>725</v>
      </c>
      <c r="B740" s="20" t="s">
        <v>1126</v>
      </c>
      <c r="C740" s="40" t="s">
        <v>249</v>
      </c>
      <c r="D740" s="40" t="s">
        <v>230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10" customFormat="1" ht="47.25" x14ac:dyDescent="0.25">
      <c r="A741" s="45" t="s">
        <v>638</v>
      </c>
      <c r="B741" s="20" t="s">
        <v>1126</v>
      </c>
      <c r="C741" s="40" t="s">
        <v>249</v>
      </c>
      <c r="D741" s="40" t="s">
        <v>230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10" customFormat="1" ht="31.5" hidden="1" x14ac:dyDescent="0.25">
      <c r="A742" s="45" t="s">
        <v>574</v>
      </c>
      <c r="B742" s="20" t="s">
        <v>1127</v>
      </c>
      <c r="C742" s="40" t="s">
        <v>249</v>
      </c>
      <c r="D742" s="40" t="s">
        <v>230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10" customFormat="1" ht="31.5" hidden="1" x14ac:dyDescent="0.25">
      <c r="A743" s="25" t="s">
        <v>146</v>
      </c>
      <c r="B743" s="20" t="s">
        <v>1127</v>
      </c>
      <c r="C743" s="40" t="s">
        <v>249</v>
      </c>
      <c r="D743" s="40" t="s">
        <v>230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148</v>
      </c>
      <c r="B744" s="20" t="s">
        <v>1127</v>
      </c>
      <c r="C744" s="40" t="s">
        <v>249</v>
      </c>
      <c r="D744" s="40" t="s">
        <v>230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638</v>
      </c>
      <c r="B745" s="20" t="s">
        <v>1127</v>
      </c>
      <c r="C745" s="40" t="s">
        <v>249</v>
      </c>
      <c r="D745" s="40" t="s">
        <v>230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37" t="s">
        <v>1284</v>
      </c>
      <c r="B746" s="20" t="s">
        <v>1285</v>
      </c>
      <c r="C746" s="40" t="s">
        <v>249</v>
      </c>
      <c r="D746" s="40" t="s">
        <v>230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146</v>
      </c>
      <c r="B747" s="20" t="s">
        <v>1285</v>
      </c>
      <c r="C747" s="40" t="s">
        <v>249</v>
      </c>
      <c r="D747" s="40" t="s">
        <v>230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148</v>
      </c>
      <c r="B748" s="20" t="s">
        <v>1285</v>
      </c>
      <c r="C748" s="40" t="s">
        <v>249</v>
      </c>
      <c r="D748" s="40" t="s">
        <v>230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638</v>
      </c>
      <c r="B749" s="20" t="s">
        <v>1285</v>
      </c>
      <c r="C749" s="40" t="s">
        <v>249</v>
      </c>
      <c r="D749" s="40" t="s">
        <v>230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948</v>
      </c>
      <c r="B750" s="24" t="s">
        <v>1128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405</v>
      </c>
      <c r="B751" s="40" t="s">
        <v>1128</v>
      </c>
      <c r="C751" s="40" t="s">
        <v>249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556</v>
      </c>
      <c r="B752" s="40" t="s">
        <v>1128</v>
      </c>
      <c r="C752" s="40" t="s">
        <v>249</v>
      </c>
      <c r="D752" s="40" t="s">
        <v>230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705</v>
      </c>
      <c r="B753" s="20" t="s">
        <v>1129</v>
      </c>
      <c r="C753" s="40" t="s">
        <v>249</v>
      </c>
      <c r="D753" s="40" t="s">
        <v>230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146</v>
      </c>
      <c r="B754" s="20" t="s">
        <v>1129</v>
      </c>
      <c r="C754" s="40" t="s">
        <v>249</v>
      </c>
      <c r="D754" s="40" t="s">
        <v>230</v>
      </c>
      <c r="E754" s="20" t="s">
        <v>147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148</v>
      </c>
      <c r="B755" s="20" t="s">
        <v>1129</v>
      </c>
      <c r="C755" s="40" t="s">
        <v>249</v>
      </c>
      <c r="D755" s="40" t="s">
        <v>230</v>
      </c>
      <c r="E755" s="20" t="s">
        <v>149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638</v>
      </c>
      <c r="B756" s="20" t="s">
        <v>1129</v>
      </c>
      <c r="C756" s="40" t="s">
        <v>249</v>
      </c>
      <c r="D756" s="40" t="s">
        <v>230</v>
      </c>
      <c r="E756" s="20" t="s">
        <v>149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1247</v>
      </c>
      <c r="B757" s="20" t="s">
        <v>1248</v>
      </c>
      <c r="C757" s="40" t="s">
        <v>249</v>
      </c>
      <c r="D757" s="40" t="s">
        <v>230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146</v>
      </c>
      <c r="B758" s="20" t="s">
        <v>1248</v>
      </c>
      <c r="C758" s="40" t="s">
        <v>249</v>
      </c>
      <c r="D758" s="40" t="s">
        <v>230</v>
      </c>
      <c r="E758" s="20" t="s">
        <v>147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148</v>
      </c>
      <c r="B759" s="20" t="s">
        <v>1248</v>
      </c>
      <c r="C759" s="40" t="s">
        <v>249</v>
      </c>
      <c r="D759" s="40" t="s">
        <v>230</v>
      </c>
      <c r="E759" s="20" t="s">
        <v>149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638</v>
      </c>
      <c r="B760" s="20" t="s">
        <v>1248</v>
      </c>
      <c r="C760" s="40" t="s">
        <v>249</v>
      </c>
      <c r="D760" s="40" t="s">
        <v>230</v>
      </c>
      <c r="E760" s="20" t="s">
        <v>149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196</v>
      </c>
      <c r="B761" s="206" t="s">
        <v>197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1157</v>
      </c>
      <c r="B762" s="206" t="s">
        <v>921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247</v>
      </c>
      <c r="B763" s="5" t="s">
        <v>921</v>
      </c>
      <c r="C763" s="40" t="s">
        <v>165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248</v>
      </c>
      <c r="B764" s="30" t="s">
        <v>921</v>
      </c>
      <c r="C764" s="40" t="s">
        <v>165</v>
      </c>
      <c r="D764" s="40" t="s">
        <v>249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922</v>
      </c>
      <c r="B765" s="20" t="s">
        <v>966</v>
      </c>
      <c r="C765" s="40" t="s">
        <v>165</v>
      </c>
      <c r="D765" s="40" t="s">
        <v>249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150</v>
      </c>
      <c r="B766" s="20" t="s">
        <v>966</v>
      </c>
      <c r="C766" s="40" t="s">
        <v>165</v>
      </c>
      <c r="D766" s="40" t="s">
        <v>249</v>
      </c>
      <c r="E766" s="40" t="s">
        <v>160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199</v>
      </c>
      <c r="B767" s="20" t="s">
        <v>966</v>
      </c>
      <c r="C767" s="40" t="s">
        <v>165</v>
      </c>
      <c r="D767" s="40" t="s">
        <v>249</v>
      </c>
      <c r="E767" s="40" t="s">
        <v>175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163</v>
      </c>
      <c r="B768" s="20" t="s">
        <v>966</v>
      </c>
      <c r="C768" s="40" t="s">
        <v>165</v>
      </c>
      <c r="D768" s="40" t="s">
        <v>249</v>
      </c>
      <c r="E768" s="40" t="s">
        <v>175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250</v>
      </c>
      <c r="B769" s="20" t="s">
        <v>925</v>
      </c>
      <c r="C769" s="40" t="s">
        <v>165</v>
      </c>
      <c r="D769" s="40" t="s">
        <v>249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150</v>
      </c>
      <c r="B770" s="20" t="s">
        <v>925</v>
      </c>
      <c r="C770" s="40" t="s">
        <v>165</v>
      </c>
      <c r="D770" s="40" t="s">
        <v>249</v>
      </c>
      <c r="E770" s="40" t="s">
        <v>160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199</v>
      </c>
      <c r="B771" s="20" t="s">
        <v>925</v>
      </c>
      <c r="C771" s="40" t="s">
        <v>165</v>
      </c>
      <c r="D771" s="40" t="s">
        <v>249</v>
      </c>
      <c r="E771" s="40" t="s">
        <v>175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163</v>
      </c>
      <c r="B772" s="20" t="s">
        <v>925</v>
      </c>
      <c r="C772" s="40" t="s">
        <v>165</v>
      </c>
      <c r="D772" s="40" t="s">
        <v>249</v>
      </c>
      <c r="E772" s="40" t="s">
        <v>175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19" t="s">
        <v>1158</v>
      </c>
      <c r="B773" s="24" t="s">
        <v>924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247</v>
      </c>
      <c r="B774" s="5" t="s">
        <v>921</v>
      </c>
      <c r="C774" s="40" t="s">
        <v>165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248</v>
      </c>
      <c r="B775" s="30" t="s">
        <v>921</v>
      </c>
      <c r="C775" s="40" t="s">
        <v>165</v>
      </c>
      <c r="D775" s="40" t="s">
        <v>249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923</v>
      </c>
      <c r="B776" s="5" t="s">
        <v>967</v>
      </c>
      <c r="C776" s="40" t="s">
        <v>165</v>
      </c>
      <c r="D776" s="40" t="s">
        <v>249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150</v>
      </c>
      <c r="B777" s="5" t="s">
        <v>967</v>
      </c>
      <c r="C777" s="40" t="s">
        <v>165</v>
      </c>
      <c r="D777" s="40" t="s">
        <v>249</v>
      </c>
      <c r="E777" s="40" t="s">
        <v>160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199</v>
      </c>
      <c r="B778" s="5" t="s">
        <v>967</v>
      </c>
      <c r="C778" s="40" t="s">
        <v>165</v>
      </c>
      <c r="D778" s="40" t="s">
        <v>249</v>
      </c>
      <c r="E778" s="40" t="s">
        <v>175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163</v>
      </c>
      <c r="B779" s="20" t="s">
        <v>925</v>
      </c>
      <c r="C779" s="40" t="s">
        <v>165</v>
      </c>
      <c r="D779" s="40" t="s">
        <v>249</v>
      </c>
      <c r="E779" s="40" t="s">
        <v>175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1176</v>
      </c>
      <c r="B780" s="7" t="s">
        <v>533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1097</v>
      </c>
      <c r="B781" s="24" t="s">
        <v>1099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405</v>
      </c>
      <c r="B782" s="40" t="s">
        <v>1099</v>
      </c>
      <c r="C782" s="40" t="s">
        <v>249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532</v>
      </c>
      <c r="B783" s="40" t="s">
        <v>1099</v>
      </c>
      <c r="C783" s="40" t="s">
        <v>249</v>
      </c>
      <c r="D783" s="40" t="s">
        <v>228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536</v>
      </c>
      <c r="B784" s="20" t="s">
        <v>1100</v>
      </c>
      <c r="C784" s="40" t="s">
        <v>249</v>
      </c>
      <c r="D784" s="40" t="s">
        <v>228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146</v>
      </c>
      <c r="B785" s="20" t="s">
        <v>1100</v>
      </c>
      <c r="C785" s="40" t="s">
        <v>249</v>
      </c>
      <c r="D785" s="40" t="s">
        <v>228</v>
      </c>
      <c r="E785" s="40" t="s">
        <v>147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148</v>
      </c>
      <c r="B786" s="20" t="s">
        <v>1100</v>
      </c>
      <c r="C786" s="40" t="s">
        <v>249</v>
      </c>
      <c r="D786" s="40" t="s">
        <v>228</v>
      </c>
      <c r="E786" s="40" t="s">
        <v>149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638</v>
      </c>
      <c r="B787" s="20" t="s">
        <v>1100</v>
      </c>
      <c r="C787" s="40" t="s">
        <v>249</v>
      </c>
      <c r="D787" s="40" t="s">
        <v>228</v>
      </c>
      <c r="E787" s="40" t="s">
        <v>149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1101</v>
      </c>
      <c r="B788" s="24" t="s">
        <v>1102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405</v>
      </c>
      <c r="B789" s="40" t="s">
        <v>1102</v>
      </c>
      <c r="C789" s="40" t="s">
        <v>249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532</v>
      </c>
      <c r="B790" s="40" t="s">
        <v>1102</v>
      </c>
      <c r="C790" s="40" t="s">
        <v>249</v>
      </c>
      <c r="D790" s="40" t="s">
        <v>228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538</v>
      </c>
      <c r="B791" s="20" t="s">
        <v>1105</v>
      </c>
      <c r="C791" s="40" t="s">
        <v>249</v>
      </c>
      <c r="D791" s="40" t="s">
        <v>228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146</v>
      </c>
      <c r="B792" s="20" t="s">
        <v>1105</v>
      </c>
      <c r="C792" s="40" t="s">
        <v>249</v>
      </c>
      <c r="D792" s="40" t="s">
        <v>228</v>
      </c>
      <c r="E792" s="40" t="s">
        <v>147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148</v>
      </c>
      <c r="B793" s="20" t="s">
        <v>1105</v>
      </c>
      <c r="C793" s="40" t="s">
        <v>249</v>
      </c>
      <c r="D793" s="40" t="s">
        <v>228</v>
      </c>
      <c r="E793" s="40" t="s">
        <v>149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638</v>
      </c>
      <c r="B794" s="20" t="s">
        <v>1105</v>
      </c>
      <c r="C794" s="40" t="s">
        <v>249</v>
      </c>
      <c r="D794" s="40" t="s">
        <v>228</v>
      </c>
      <c r="E794" s="40" t="s">
        <v>149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1103</v>
      </c>
      <c r="B795" s="24" t="s">
        <v>1104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405</v>
      </c>
      <c r="B796" s="40" t="s">
        <v>1104</v>
      </c>
      <c r="C796" s="40" t="s">
        <v>249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532</v>
      </c>
      <c r="B797" s="40" t="s">
        <v>1104</v>
      </c>
      <c r="C797" s="40" t="s">
        <v>249</v>
      </c>
      <c r="D797" s="40" t="s">
        <v>228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540</v>
      </c>
      <c r="B798" s="20" t="s">
        <v>1106</v>
      </c>
      <c r="C798" s="40" t="s">
        <v>249</v>
      </c>
      <c r="D798" s="40" t="s">
        <v>228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146</v>
      </c>
      <c r="B799" s="20" t="s">
        <v>1106</v>
      </c>
      <c r="C799" s="40" t="s">
        <v>249</v>
      </c>
      <c r="D799" s="40" t="s">
        <v>228</v>
      </c>
      <c r="E799" s="40" t="s">
        <v>147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148</v>
      </c>
      <c r="B800" s="20" t="s">
        <v>1106</v>
      </c>
      <c r="C800" s="40" t="s">
        <v>249</v>
      </c>
      <c r="D800" s="40" t="s">
        <v>228</v>
      </c>
      <c r="E800" s="40" t="s">
        <v>149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638</v>
      </c>
      <c r="B801" s="20" t="s">
        <v>1106</v>
      </c>
      <c r="C801" s="40" t="s">
        <v>249</v>
      </c>
      <c r="D801" s="40" t="s">
        <v>228</v>
      </c>
      <c r="E801" s="40" t="s">
        <v>149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1107</v>
      </c>
      <c r="B802" s="24" t="s">
        <v>1108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405</v>
      </c>
      <c r="B803" s="40" t="s">
        <v>1108</v>
      </c>
      <c r="C803" s="40" t="s">
        <v>249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532</v>
      </c>
      <c r="B804" s="40" t="s">
        <v>1108</v>
      </c>
      <c r="C804" s="40" t="s">
        <v>249</v>
      </c>
      <c r="D804" s="40" t="s">
        <v>228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542</v>
      </c>
      <c r="B805" s="20" t="s">
        <v>1109</v>
      </c>
      <c r="C805" s="40" t="s">
        <v>249</v>
      </c>
      <c r="D805" s="40" t="s">
        <v>228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146</v>
      </c>
      <c r="B806" s="20" t="s">
        <v>1109</v>
      </c>
      <c r="C806" s="40" t="s">
        <v>249</v>
      </c>
      <c r="D806" s="40" t="s">
        <v>228</v>
      </c>
      <c r="E806" s="40" t="s">
        <v>147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148</v>
      </c>
      <c r="B807" s="20" t="s">
        <v>1109</v>
      </c>
      <c r="C807" s="40" t="s">
        <v>249</v>
      </c>
      <c r="D807" s="40" t="s">
        <v>228</v>
      </c>
      <c r="E807" s="40" t="s">
        <v>149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638</v>
      </c>
      <c r="B808" s="20" t="s">
        <v>1109</v>
      </c>
      <c r="C808" s="40" t="s">
        <v>249</v>
      </c>
      <c r="D808" s="40" t="s">
        <v>228</v>
      </c>
      <c r="E808" s="40" t="s">
        <v>149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1170</v>
      </c>
      <c r="B809" s="24" t="s">
        <v>1171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405</v>
      </c>
      <c r="B810" s="40" t="s">
        <v>533</v>
      </c>
      <c r="C810" s="40" t="s">
        <v>249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532</v>
      </c>
      <c r="B811" s="40" t="s">
        <v>533</v>
      </c>
      <c r="C811" s="40" t="s">
        <v>249</v>
      </c>
      <c r="D811" s="40" t="s">
        <v>228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544</v>
      </c>
      <c r="B812" s="20" t="s">
        <v>1174</v>
      </c>
      <c r="C812" s="40" t="s">
        <v>249</v>
      </c>
      <c r="D812" s="40" t="s">
        <v>228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146</v>
      </c>
      <c r="B813" s="20" t="s">
        <v>1174</v>
      </c>
      <c r="C813" s="40" t="s">
        <v>249</v>
      </c>
      <c r="D813" s="40" t="s">
        <v>228</v>
      </c>
      <c r="E813" s="40" t="s">
        <v>147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148</v>
      </c>
      <c r="B814" s="20" t="s">
        <v>1174</v>
      </c>
      <c r="C814" s="40" t="s">
        <v>249</v>
      </c>
      <c r="D814" s="40" t="s">
        <v>228</v>
      </c>
      <c r="E814" s="40" t="s">
        <v>149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638</v>
      </c>
      <c r="B815" s="20" t="s">
        <v>1174</v>
      </c>
      <c r="C815" s="40" t="s">
        <v>249</v>
      </c>
      <c r="D815" s="40" t="s">
        <v>228</v>
      </c>
      <c r="E815" s="40" t="s">
        <v>149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25" t="s">
        <v>1172</v>
      </c>
      <c r="B816" s="24" t="s">
        <v>1173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405</v>
      </c>
      <c r="B817" s="40" t="s">
        <v>533</v>
      </c>
      <c r="C817" s="40" t="s">
        <v>249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532</v>
      </c>
      <c r="B818" s="40" t="s">
        <v>533</v>
      </c>
      <c r="C818" s="40" t="s">
        <v>249</v>
      </c>
      <c r="D818" s="40" t="s">
        <v>228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546</v>
      </c>
      <c r="B819" s="20" t="s">
        <v>1175</v>
      </c>
      <c r="C819" s="40" t="s">
        <v>249</v>
      </c>
      <c r="D819" s="40" t="s">
        <v>228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146</v>
      </c>
      <c r="B820" s="20" t="s">
        <v>1175</v>
      </c>
      <c r="C820" s="40" t="s">
        <v>249</v>
      </c>
      <c r="D820" s="40" t="s">
        <v>228</v>
      </c>
      <c r="E820" s="40" t="s">
        <v>147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148</v>
      </c>
      <c r="B821" s="20" t="s">
        <v>1175</v>
      </c>
      <c r="C821" s="40" t="s">
        <v>249</v>
      </c>
      <c r="D821" s="40" t="s">
        <v>228</v>
      </c>
      <c r="E821" s="40" t="s">
        <v>149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638</v>
      </c>
      <c r="B822" s="20" t="s">
        <v>1175</v>
      </c>
      <c r="C822" s="40" t="s">
        <v>249</v>
      </c>
      <c r="D822" s="40" t="s">
        <v>228</v>
      </c>
      <c r="E822" s="40" t="s">
        <v>149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25" t="s">
        <v>1111</v>
      </c>
      <c r="B823" s="24" t="s">
        <v>1112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405</v>
      </c>
      <c r="B824" s="40" t="s">
        <v>533</v>
      </c>
      <c r="C824" s="40" t="s">
        <v>249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532</v>
      </c>
      <c r="B825" s="40" t="s">
        <v>533</v>
      </c>
      <c r="C825" s="40" t="s">
        <v>249</v>
      </c>
      <c r="D825" s="40" t="s">
        <v>228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548</v>
      </c>
      <c r="B826" s="20" t="s">
        <v>1110</v>
      </c>
      <c r="C826" s="40" t="s">
        <v>249</v>
      </c>
      <c r="D826" s="40" t="s">
        <v>228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146</v>
      </c>
      <c r="B827" s="20" t="s">
        <v>1110</v>
      </c>
      <c r="C827" s="40" t="s">
        <v>249</v>
      </c>
      <c r="D827" s="40" t="s">
        <v>228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148</v>
      </c>
      <c r="B828" s="20" t="s">
        <v>1110</v>
      </c>
      <c r="C828" s="40" t="s">
        <v>249</v>
      </c>
      <c r="D828" s="40" t="s">
        <v>228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638</v>
      </c>
      <c r="B829" s="20" t="s">
        <v>1110</v>
      </c>
      <c r="C829" s="40" t="s">
        <v>249</v>
      </c>
      <c r="D829" s="40" t="s">
        <v>228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349</v>
      </c>
      <c r="B830" s="24" t="s">
        <v>350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1223</v>
      </c>
      <c r="B831" s="24" t="s">
        <v>1224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132</v>
      </c>
      <c r="B832" s="20" t="s">
        <v>1224</v>
      </c>
      <c r="C832" s="40" t="s">
        <v>133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154</v>
      </c>
      <c r="B833" s="20" t="s">
        <v>1224</v>
      </c>
      <c r="C833" s="40" t="s">
        <v>133</v>
      </c>
      <c r="D833" s="40" t="s">
        <v>155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351</v>
      </c>
      <c r="B834" s="20" t="s">
        <v>1225</v>
      </c>
      <c r="C834" s="40" t="s">
        <v>133</v>
      </c>
      <c r="D834" s="40" t="s">
        <v>155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146</v>
      </c>
      <c r="B835" s="20" t="s">
        <v>1225</v>
      </c>
      <c r="C835" s="40" t="s">
        <v>133</v>
      </c>
      <c r="D835" s="40" t="s">
        <v>155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148</v>
      </c>
      <c r="B836" s="20" t="s">
        <v>1225</v>
      </c>
      <c r="C836" s="40" t="s">
        <v>133</v>
      </c>
      <c r="D836" s="40" t="s">
        <v>155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418</v>
      </c>
      <c r="B837" s="20" t="s">
        <v>1225</v>
      </c>
      <c r="C837" s="40" t="s">
        <v>133</v>
      </c>
      <c r="D837" s="40" t="s">
        <v>155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146</v>
      </c>
      <c r="B838" s="20" t="s">
        <v>1225</v>
      </c>
      <c r="C838" s="40" t="s">
        <v>133</v>
      </c>
      <c r="D838" s="40" t="s">
        <v>155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148</v>
      </c>
      <c r="B839" s="20" t="s">
        <v>1225</v>
      </c>
      <c r="C839" s="40" t="s">
        <v>133</v>
      </c>
      <c r="D839" s="40" t="s">
        <v>155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495</v>
      </c>
      <c r="B840" s="20" t="s">
        <v>1225</v>
      </c>
      <c r="C840" s="40" t="s">
        <v>133</v>
      </c>
      <c r="D840" s="40" t="s">
        <v>155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351</v>
      </c>
      <c r="B841" s="20" t="s">
        <v>1230</v>
      </c>
      <c r="C841" s="40" t="s">
        <v>133</v>
      </c>
      <c r="D841" s="40" t="s">
        <v>155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146</v>
      </c>
      <c r="B842" s="20" t="s">
        <v>1230</v>
      </c>
      <c r="C842" s="40" t="s">
        <v>133</v>
      </c>
      <c r="D842" s="40" t="s">
        <v>155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148</v>
      </c>
      <c r="B843" s="20" t="s">
        <v>1230</v>
      </c>
      <c r="C843" s="40" t="s">
        <v>133</v>
      </c>
      <c r="D843" s="40" t="s">
        <v>155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418</v>
      </c>
      <c r="B844" s="20" t="s">
        <v>1230</v>
      </c>
      <c r="C844" s="40" t="s">
        <v>133</v>
      </c>
      <c r="D844" s="40" t="s">
        <v>155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353</v>
      </c>
      <c r="B845" s="20" t="s">
        <v>1226</v>
      </c>
      <c r="C845" s="40" t="s">
        <v>133</v>
      </c>
      <c r="D845" s="40" t="s">
        <v>155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146</v>
      </c>
      <c r="B846" s="20" t="s">
        <v>1226</v>
      </c>
      <c r="C846" s="40" t="s">
        <v>133</v>
      </c>
      <c r="D846" s="40" t="s">
        <v>155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148</v>
      </c>
      <c r="B847" s="20" t="s">
        <v>1226</v>
      </c>
      <c r="C847" s="40" t="s">
        <v>133</v>
      </c>
      <c r="D847" s="40" t="s">
        <v>155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276</v>
      </c>
      <c r="B848" s="20" t="s">
        <v>1226</v>
      </c>
      <c r="C848" s="40" t="s">
        <v>133</v>
      </c>
      <c r="D848" s="40" t="s">
        <v>155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792</v>
      </c>
      <c r="B849" s="20" t="s">
        <v>1227</v>
      </c>
      <c r="C849" s="40" t="s">
        <v>133</v>
      </c>
      <c r="D849" s="40" t="s">
        <v>155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146</v>
      </c>
      <c r="B850" s="20" t="s">
        <v>1227</v>
      </c>
      <c r="C850" s="20" t="s">
        <v>133</v>
      </c>
      <c r="D850" s="20" t="s">
        <v>155</v>
      </c>
      <c r="E850" s="20" t="s">
        <v>147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148</v>
      </c>
      <c r="B851" s="20" t="s">
        <v>1227</v>
      </c>
      <c r="C851" s="20" t="s">
        <v>133</v>
      </c>
      <c r="D851" s="20" t="s">
        <v>155</v>
      </c>
      <c r="E851" s="20" t="s">
        <v>149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276</v>
      </c>
      <c r="B852" s="20" t="s">
        <v>1227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694</v>
      </c>
      <c r="B853" s="20" t="s">
        <v>1228</v>
      </c>
      <c r="C853" s="40" t="s">
        <v>133</v>
      </c>
      <c r="D853" s="40" t="s">
        <v>155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146</v>
      </c>
      <c r="B854" s="20" t="s">
        <v>1228</v>
      </c>
      <c r="C854" s="40" t="s">
        <v>133</v>
      </c>
      <c r="D854" s="40" t="s">
        <v>155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148</v>
      </c>
      <c r="B855" s="20" t="s">
        <v>1228</v>
      </c>
      <c r="C855" s="40" t="s">
        <v>133</v>
      </c>
      <c r="D855" s="40" t="s">
        <v>155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276</v>
      </c>
      <c r="B856" s="20" t="s">
        <v>1228</v>
      </c>
      <c r="C856" s="40" t="s">
        <v>133</v>
      </c>
      <c r="D856" s="40" t="s">
        <v>155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794</v>
      </c>
      <c r="B857" s="20" t="s">
        <v>1258</v>
      </c>
      <c r="C857" s="40" t="s">
        <v>133</v>
      </c>
      <c r="D857" s="40" t="s">
        <v>155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146</v>
      </c>
      <c r="B858" s="20" t="s">
        <v>1258</v>
      </c>
      <c r="C858" s="40" t="s">
        <v>133</v>
      </c>
      <c r="D858" s="40" t="s">
        <v>155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148</v>
      </c>
      <c r="B859" s="20" t="s">
        <v>1258</v>
      </c>
      <c r="C859" s="40" t="s">
        <v>133</v>
      </c>
      <c r="D859" s="40" t="s">
        <v>155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418</v>
      </c>
      <c r="B860" s="20" t="s">
        <v>1258</v>
      </c>
      <c r="C860" s="40" t="s">
        <v>133</v>
      </c>
      <c r="D860" s="40" t="s">
        <v>155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793</v>
      </c>
      <c r="B861" s="20" t="s">
        <v>1229</v>
      </c>
      <c r="C861" s="20" t="s">
        <v>133</v>
      </c>
      <c r="D861" s="20" t="s">
        <v>155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146</v>
      </c>
      <c r="B862" s="20" t="s">
        <v>1229</v>
      </c>
      <c r="C862" s="20" t="s">
        <v>133</v>
      </c>
      <c r="D862" s="20" t="s">
        <v>155</v>
      </c>
      <c r="E862" s="20" t="s">
        <v>147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148</v>
      </c>
      <c r="B863" s="20" t="s">
        <v>1229</v>
      </c>
      <c r="C863" s="20" t="s">
        <v>133</v>
      </c>
      <c r="D863" s="20" t="s">
        <v>155</v>
      </c>
      <c r="E863" s="20" t="s">
        <v>149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276</v>
      </c>
      <c r="B864" s="20" t="s">
        <v>1229</v>
      </c>
      <c r="C864" s="20" t="s">
        <v>133</v>
      </c>
      <c r="D864" s="20" t="s">
        <v>155</v>
      </c>
      <c r="E864" s="20" t="s">
        <v>149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1177</v>
      </c>
      <c r="B865" s="24" t="s">
        <v>726</v>
      </c>
      <c r="C865" s="7"/>
      <c r="D865" s="7"/>
      <c r="E865" s="3"/>
      <c r="F865" s="3"/>
      <c r="G865" s="4">
        <f>G866+G877+G916</f>
        <v>3147.6</v>
      </c>
      <c r="H865" s="4" t="e">
        <f>H866+H877+H916</f>
        <v>#REF!</v>
      </c>
    </row>
    <row r="866" spans="1:8" ht="63" x14ac:dyDescent="0.25">
      <c r="A866" s="216" t="s">
        <v>890</v>
      </c>
      <c r="B866" s="24" t="s">
        <v>896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132</v>
      </c>
      <c r="B867" s="20" t="s">
        <v>896</v>
      </c>
      <c r="C867" s="40" t="s">
        <v>133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154</v>
      </c>
      <c r="B868" s="20" t="s">
        <v>896</v>
      </c>
      <c r="C868" s="40" t="s">
        <v>133</v>
      </c>
      <c r="D868" s="40" t="s">
        <v>155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797</v>
      </c>
      <c r="B869" s="20" t="s">
        <v>891</v>
      </c>
      <c r="C869" s="40" t="s">
        <v>133</v>
      </c>
      <c r="D869" s="40" t="s">
        <v>155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146</v>
      </c>
      <c r="B870" s="20" t="s">
        <v>891</v>
      </c>
      <c r="C870" s="40" t="s">
        <v>133</v>
      </c>
      <c r="D870" s="40" t="s">
        <v>155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148</v>
      </c>
      <c r="B871" s="20" t="s">
        <v>891</v>
      </c>
      <c r="C871" s="40" t="s">
        <v>133</v>
      </c>
      <c r="D871" s="40" t="s">
        <v>155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163</v>
      </c>
      <c r="B872" s="20" t="s">
        <v>891</v>
      </c>
      <c r="C872" s="40" t="s">
        <v>133</v>
      </c>
      <c r="D872" s="40" t="s">
        <v>155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797</v>
      </c>
      <c r="B873" s="20" t="s">
        <v>891</v>
      </c>
      <c r="C873" s="40" t="s">
        <v>133</v>
      </c>
      <c r="D873" s="40" t="s">
        <v>155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146</v>
      </c>
      <c r="B874" s="20" t="s">
        <v>891</v>
      </c>
      <c r="C874" s="40" t="s">
        <v>133</v>
      </c>
      <c r="D874" s="40" t="s">
        <v>155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148</v>
      </c>
      <c r="B875" s="20" t="s">
        <v>891</v>
      </c>
      <c r="C875" s="40" t="s">
        <v>133</v>
      </c>
      <c r="D875" s="40" t="s">
        <v>155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276</v>
      </c>
      <c r="B876" s="20" t="s">
        <v>891</v>
      </c>
      <c r="C876" s="40" t="s">
        <v>133</v>
      </c>
      <c r="D876" s="40" t="s">
        <v>155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947</v>
      </c>
      <c r="B877" s="24" t="s">
        <v>945</v>
      </c>
      <c r="C877" s="40"/>
      <c r="D877" s="40"/>
      <c r="E877" s="2"/>
      <c r="F877" s="2"/>
      <c r="G877" s="4">
        <f>G878+G898+G904+G910</f>
        <v>3102.6</v>
      </c>
      <c r="H877" s="4" t="e">
        <f>H878+H898+H904+H910</f>
        <v>#REF!</v>
      </c>
    </row>
    <row r="878" spans="1:8" ht="15.75" x14ac:dyDescent="0.25">
      <c r="A878" s="29" t="s">
        <v>278</v>
      </c>
      <c r="B878" s="20" t="s">
        <v>945</v>
      </c>
      <c r="C878" s="40" t="s">
        <v>279</v>
      </c>
      <c r="D878" s="40"/>
      <c r="E878" s="2"/>
      <c r="F878" s="2"/>
      <c r="G878" s="6">
        <f>G879+G885+G889</f>
        <v>1709.3</v>
      </c>
      <c r="H878" s="6" t="e">
        <f>H879+H885+H889</f>
        <v>#REF!</v>
      </c>
    </row>
    <row r="879" spans="1:8" ht="15.75" x14ac:dyDescent="0.25">
      <c r="A879" s="29" t="s">
        <v>419</v>
      </c>
      <c r="B879" s="20" t="s">
        <v>945</v>
      </c>
      <c r="C879" s="40" t="s">
        <v>279</v>
      </c>
      <c r="D879" s="40" t="s">
        <v>133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801</v>
      </c>
      <c r="B880" s="20" t="s">
        <v>1025</v>
      </c>
      <c r="C880" s="40" t="s">
        <v>279</v>
      </c>
      <c r="D880" s="40" t="s">
        <v>133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287</v>
      </c>
      <c r="B881" s="20" t="s">
        <v>1025</v>
      </c>
      <c r="C881" s="40" t="s">
        <v>279</v>
      </c>
      <c r="D881" s="40" t="s">
        <v>133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3" t="s">
        <v>289</v>
      </c>
      <c r="B882" s="20" t="s">
        <v>1025</v>
      </c>
      <c r="C882" s="40" t="s">
        <v>279</v>
      </c>
      <c r="D882" s="40" t="s">
        <v>133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418</v>
      </c>
      <c r="B883" s="20" t="s">
        <v>1025</v>
      </c>
      <c r="C883" s="40" t="s">
        <v>279</v>
      </c>
      <c r="D883" s="40" t="s">
        <v>133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440</v>
      </c>
      <c r="B884" s="20" t="s">
        <v>945</v>
      </c>
      <c r="C884" s="40" t="s">
        <v>279</v>
      </c>
      <c r="D884" s="40" t="s">
        <v>228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801</v>
      </c>
      <c r="B885" s="20" t="s">
        <v>1025</v>
      </c>
      <c r="C885" s="40" t="s">
        <v>279</v>
      </c>
      <c r="D885" s="40" t="s">
        <v>228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287</v>
      </c>
      <c r="B886" s="20" t="s">
        <v>1025</v>
      </c>
      <c r="C886" s="40" t="s">
        <v>279</v>
      </c>
      <c r="D886" s="40" t="s">
        <v>228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3" t="s">
        <v>289</v>
      </c>
      <c r="B887" s="20" t="s">
        <v>1025</v>
      </c>
      <c r="C887" s="40" t="s">
        <v>279</v>
      </c>
      <c r="D887" s="40" t="s">
        <v>228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418</v>
      </c>
      <c r="B888" s="20" t="s">
        <v>1025</v>
      </c>
      <c r="C888" s="40" t="s">
        <v>279</v>
      </c>
      <c r="D888" s="40" t="s">
        <v>228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280</v>
      </c>
      <c r="B889" s="20" t="s">
        <v>945</v>
      </c>
      <c r="C889" s="40" t="s">
        <v>279</v>
      </c>
      <c r="D889" s="40" t="s">
        <v>230</v>
      </c>
      <c r="E889" s="2"/>
      <c r="F889" s="2"/>
      <c r="G889" s="6">
        <f>G890+G894</f>
        <v>521.70000000000005</v>
      </c>
      <c r="H889" s="6" t="e">
        <f>H890+H894</f>
        <v>#REF!</v>
      </c>
    </row>
    <row r="890" spans="1:8" ht="47.25" x14ac:dyDescent="0.25">
      <c r="A890" s="45" t="s">
        <v>801</v>
      </c>
      <c r="B890" s="20" t="s">
        <v>1025</v>
      </c>
      <c r="C890" s="40" t="s">
        <v>279</v>
      </c>
      <c r="D890" s="40" t="s">
        <v>230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287</v>
      </c>
      <c r="B891" s="20" t="s">
        <v>1025</v>
      </c>
      <c r="C891" s="40" t="s">
        <v>279</v>
      </c>
      <c r="D891" s="40" t="s">
        <v>230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3" t="s">
        <v>289</v>
      </c>
      <c r="B892" s="20" t="s">
        <v>1025</v>
      </c>
      <c r="C892" s="40" t="s">
        <v>279</v>
      </c>
      <c r="D892" s="40" t="s">
        <v>230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418</v>
      </c>
      <c r="B893" s="20" t="s">
        <v>1025</v>
      </c>
      <c r="C893" s="40" t="s">
        <v>279</v>
      </c>
      <c r="D893" s="40" t="s">
        <v>230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1155</v>
      </c>
      <c r="B894" s="20" t="s">
        <v>946</v>
      </c>
      <c r="C894" s="40" t="s">
        <v>279</v>
      </c>
      <c r="D894" s="40" t="s">
        <v>230</v>
      </c>
      <c r="E894" s="2"/>
      <c r="F894" s="2"/>
      <c r="G894" s="6">
        <f>G895</f>
        <v>221</v>
      </c>
      <c r="H894" s="6" t="e">
        <f>H895</f>
        <v>#REF!</v>
      </c>
    </row>
    <row r="895" spans="1:8" ht="31.5" x14ac:dyDescent="0.25">
      <c r="A895" s="25" t="s">
        <v>146</v>
      </c>
      <c r="B895" s="20" t="s">
        <v>946</v>
      </c>
      <c r="C895" s="40" t="s">
        <v>279</v>
      </c>
      <c r="D895" s="40" t="s">
        <v>230</v>
      </c>
      <c r="E895" s="2">
        <v>200</v>
      </c>
      <c r="F895" s="2"/>
      <c r="G895" s="6">
        <f>G896</f>
        <v>221</v>
      </c>
      <c r="H895" s="6" t="e">
        <f>H896</f>
        <v>#REF!</v>
      </c>
    </row>
    <row r="896" spans="1:8" ht="47.25" x14ac:dyDescent="0.25">
      <c r="A896" s="25" t="s">
        <v>148</v>
      </c>
      <c r="B896" s="20" t="s">
        <v>946</v>
      </c>
      <c r="C896" s="40" t="s">
        <v>279</v>
      </c>
      <c r="D896" s="40" t="s">
        <v>230</v>
      </c>
      <c r="E896" s="2">
        <v>240</v>
      </c>
      <c r="F896" s="2"/>
      <c r="G896" s="6">
        <f>'пр.5.1.ведом.21-22'!G320</f>
        <v>221</v>
      </c>
      <c r="H896" s="6" t="e">
        <f>'Пр.4 ведом.20'!#REF!</f>
        <v>#REF!</v>
      </c>
    </row>
    <row r="897" spans="1:8" ht="47.25" x14ac:dyDescent="0.25">
      <c r="A897" s="25" t="s">
        <v>276</v>
      </c>
      <c r="B897" s="20" t="s">
        <v>946</v>
      </c>
      <c r="C897" s="40" t="s">
        <v>279</v>
      </c>
      <c r="D897" s="40" t="s">
        <v>230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313</v>
      </c>
      <c r="B898" s="20" t="s">
        <v>945</v>
      </c>
      <c r="C898" s="40" t="s">
        <v>314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315</v>
      </c>
      <c r="B899" s="20" t="s">
        <v>945</v>
      </c>
      <c r="C899" s="40" t="s">
        <v>314</v>
      </c>
      <c r="D899" s="40" t="s">
        <v>133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799</v>
      </c>
      <c r="B900" s="20" t="s">
        <v>946</v>
      </c>
      <c r="C900" s="40" t="s">
        <v>314</v>
      </c>
      <c r="D900" s="40" t="s">
        <v>133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146</v>
      </c>
      <c r="B901" s="20" t="s">
        <v>946</v>
      </c>
      <c r="C901" s="40" t="s">
        <v>314</v>
      </c>
      <c r="D901" s="40" t="s">
        <v>133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148</v>
      </c>
      <c r="B902" s="20" t="s">
        <v>946</v>
      </c>
      <c r="C902" s="40" t="s">
        <v>314</v>
      </c>
      <c r="D902" s="40" t="s">
        <v>133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276</v>
      </c>
      <c r="B903" s="20" t="s">
        <v>946</v>
      </c>
      <c r="C903" s="40" t="s">
        <v>314</v>
      </c>
      <c r="D903" s="40" t="s">
        <v>133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505</v>
      </c>
      <c r="B904" s="20" t="s">
        <v>945</v>
      </c>
      <c r="C904" s="40" t="s">
        <v>506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1269</v>
      </c>
      <c r="B905" s="20" t="s">
        <v>945</v>
      </c>
      <c r="C905" s="40" t="s">
        <v>506</v>
      </c>
      <c r="D905" s="40" t="s">
        <v>133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801</v>
      </c>
      <c r="B906" s="20" t="s">
        <v>1025</v>
      </c>
      <c r="C906" s="40" t="s">
        <v>506</v>
      </c>
      <c r="D906" s="40" t="s">
        <v>133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287</v>
      </c>
      <c r="B907" s="20" t="s">
        <v>1025</v>
      </c>
      <c r="C907" s="40" t="s">
        <v>506</v>
      </c>
      <c r="D907" s="40" t="s">
        <v>133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3" t="s">
        <v>289</v>
      </c>
      <c r="B908" s="20" t="s">
        <v>1025</v>
      </c>
      <c r="C908" s="40" t="s">
        <v>506</v>
      </c>
      <c r="D908" s="40" t="s">
        <v>133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495</v>
      </c>
      <c r="B909" s="20" t="s">
        <v>1025</v>
      </c>
      <c r="C909" s="40" t="s">
        <v>506</v>
      </c>
      <c r="D909" s="40" t="s">
        <v>133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597</v>
      </c>
      <c r="B910" s="20" t="s">
        <v>945</v>
      </c>
      <c r="C910" s="40" t="s">
        <v>253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598</v>
      </c>
      <c r="B911" s="20" t="s">
        <v>945</v>
      </c>
      <c r="C911" s="40" t="s">
        <v>253</v>
      </c>
      <c r="D911" s="40" t="s">
        <v>228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799</v>
      </c>
      <c r="B912" s="20" t="s">
        <v>946</v>
      </c>
      <c r="C912" s="40" t="s">
        <v>253</v>
      </c>
      <c r="D912" s="40" t="s">
        <v>228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146</v>
      </c>
      <c r="B913" s="20" t="s">
        <v>946</v>
      </c>
      <c r="C913" s="40" t="s">
        <v>253</v>
      </c>
      <c r="D913" s="40" t="s">
        <v>228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148</v>
      </c>
      <c r="B914" s="20" t="s">
        <v>946</v>
      </c>
      <c r="C914" s="40" t="s">
        <v>253</v>
      </c>
      <c r="D914" s="40" t="s">
        <v>228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276</v>
      </c>
      <c r="B915" s="20" t="s">
        <v>946</v>
      </c>
      <c r="C915" s="40" t="s">
        <v>253</v>
      </c>
      <c r="D915" s="40" t="s">
        <v>228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17" t="s">
        <v>1186</v>
      </c>
      <c r="B916" s="24" t="s">
        <v>897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30" t="s">
        <v>132</v>
      </c>
      <c r="B917" s="20" t="s">
        <v>897</v>
      </c>
      <c r="C917" s="40" t="s">
        <v>133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30" t="s">
        <v>154</v>
      </c>
      <c r="B918" s="20" t="s">
        <v>897</v>
      </c>
      <c r="C918" s="40" t="s">
        <v>133</v>
      </c>
      <c r="D918" s="40" t="s">
        <v>155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67" t="s">
        <v>1156</v>
      </c>
      <c r="B919" s="20" t="s">
        <v>892</v>
      </c>
      <c r="C919" s="40" t="s">
        <v>133</v>
      </c>
      <c r="D919" s="40" t="s">
        <v>155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146</v>
      </c>
      <c r="B920" s="20" t="s">
        <v>892</v>
      </c>
      <c r="C920" s="40" t="s">
        <v>133</v>
      </c>
      <c r="D920" s="40" t="s">
        <v>155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148</v>
      </c>
      <c r="B921" s="20" t="s">
        <v>892</v>
      </c>
      <c r="C921" s="40" t="s">
        <v>133</v>
      </c>
      <c r="D921" s="40" t="s">
        <v>155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163</v>
      </c>
      <c r="B922" s="20" t="s">
        <v>892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820</v>
      </c>
      <c r="B923" s="24" t="s">
        <v>732</v>
      </c>
      <c r="C923" s="7"/>
      <c r="D923" s="7"/>
      <c r="E923" s="3"/>
      <c r="F923" s="3"/>
      <c r="G923" s="4">
        <f>G924</f>
        <v>22809</v>
      </c>
      <c r="H923" s="4">
        <f>H924</f>
        <v>500</v>
      </c>
    </row>
    <row r="924" spans="1:8" ht="31.5" x14ac:dyDescent="0.25">
      <c r="A924" s="23" t="s">
        <v>1243</v>
      </c>
      <c r="B924" s="24" t="s">
        <v>1283</v>
      </c>
      <c r="C924" s="7"/>
      <c r="D924" s="7"/>
      <c r="E924" s="3"/>
      <c r="F924" s="3"/>
      <c r="G924" s="4">
        <f>G925</f>
        <v>22809</v>
      </c>
      <c r="H924" s="4">
        <f>H925</f>
        <v>500</v>
      </c>
    </row>
    <row r="925" spans="1:8" ht="15.75" x14ac:dyDescent="0.25">
      <c r="A925" s="25" t="s">
        <v>405</v>
      </c>
      <c r="B925" s="20" t="s">
        <v>879</v>
      </c>
      <c r="C925" s="40" t="s">
        <v>249</v>
      </c>
      <c r="D925" s="40"/>
      <c r="E925" s="2"/>
      <c r="F925" s="2"/>
      <c r="G925" s="6">
        <f t="shared" ref="G925:H928" si="139">G926</f>
        <v>22809</v>
      </c>
      <c r="H925" s="6">
        <f t="shared" si="139"/>
        <v>500</v>
      </c>
    </row>
    <row r="926" spans="1:8" ht="15.75" x14ac:dyDescent="0.25">
      <c r="A926" s="25" t="s">
        <v>556</v>
      </c>
      <c r="B926" s="20" t="s">
        <v>879</v>
      </c>
      <c r="C926" s="40" t="s">
        <v>249</v>
      </c>
      <c r="D926" s="40" t="s">
        <v>230</v>
      </c>
      <c r="E926" s="2"/>
      <c r="F926" s="2"/>
      <c r="G926" s="6">
        <f t="shared" si="139"/>
        <v>22809</v>
      </c>
      <c r="H926" s="6">
        <f t="shared" si="139"/>
        <v>500</v>
      </c>
    </row>
    <row r="927" spans="1:8" ht="63" x14ac:dyDescent="0.25">
      <c r="A927" s="80" t="s">
        <v>708</v>
      </c>
      <c r="B927" s="20" t="s">
        <v>879</v>
      </c>
      <c r="C927" s="40" t="s">
        <v>249</v>
      </c>
      <c r="D927" s="40" t="s">
        <v>230</v>
      </c>
      <c r="E927" s="2"/>
      <c r="F927" s="2"/>
      <c r="G927" s="6">
        <f t="shared" si="139"/>
        <v>22809</v>
      </c>
      <c r="H927" s="6">
        <f t="shared" si="139"/>
        <v>500</v>
      </c>
    </row>
    <row r="928" spans="1:8" ht="31.5" x14ac:dyDescent="0.25">
      <c r="A928" s="25" t="s">
        <v>146</v>
      </c>
      <c r="B928" s="20" t="s">
        <v>879</v>
      </c>
      <c r="C928" s="40" t="s">
        <v>249</v>
      </c>
      <c r="D928" s="40" t="s">
        <v>230</v>
      </c>
      <c r="E928" s="2">
        <v>200</v>
      </c>
      <c r="F928" s="2"/>
      <c r="G928" s="6">
        <f t="shared" si="139"/>
        <v>22809</v>
      </c>
      <c r="H928" s="6">
        <f t="shared" si="139"/>
        <v>500</v>
      </c>
    </row>
    <row r="929" spans="1:8" ht="47.25" x14ac:dyDescent="0.25">
      <c r="A929" s="25" t="s">
        <v>148</v>
      </c>
      <c r="B929" s="20" t="s">
        <v>879</v>
      </c>
      <c r="C929" s="40" t="s">
        <v>249</v>
      </c>
      <c r="D929" s="40" t="s">
        <v>230</v>
      </c>
      <c r="E929" s="2">
        <v>240</v>
      </c>
      <c r="F929" s="2"/>
      <c r="G929" s="6">
        <f>'пр.5.1.ведом.21-22'!G1018</f>
        <v>22809</v>
      </c>
      <c r="H929" s="6">
        <f>'пр.5.1.ведом.21-22'!H1018</f>
        <v>500</v>
      </c>
    </row>
    <row r="930" spans="1:8" ht="47.25" x14ac:dyDescent="0.25">
      <c r="A930" s="45" t="s">
        <v>638</v>
      </c>
      <c r="B930" s="20" t="s">
        <v>879</v>
      </c>
      <c r="C930" s="40" t="s">
        <v>249</v>
      </c>
      <c r="D930" s="40" t="s">
        <v>230</v>
      </c>
      <c r="E930" s="2">
        <v>240</v>
      </c>
      <c r="F930" s="2">
        <v>908</v>
      </c>
      <c r="G930" s="6">
        <f>G929</f>
        <v>22809</v>
      </c>
      <c r="H930" s="6">
        <f>H929</f>
        <v>500</v>
      </c>
    </row>
    <row r="931" spans="1:8" ht="78.75" x14ac:dyDescent="0.25">
      <c r="A931" s="58" t="s">
        <v>1179</v>
      </c>
      <c r="B931" s="24" t="s">
        <v>804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1001</v>
      </c>
      <c r="B932" s="24" t="s">
        <v>1180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132</v>
      </c>
      <c r="B933" s="20" t="s">
        <v>1180</v>
      </c>
      <c r="C933" s="40" t="s">
        <v>133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154</v>
      </c>
      <c r="B934" s="20" t="s">
        <v>1180</v>
      </c>
      <c r="C934" s="40" t="s">
        <v>133</v>
      </c>
      <c r="D934" s="40" t="s">
        <v>155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814</v>
      </c>
      <c r="B935" s="20" t="s">
        <v>1181</v>
      </c>
      <c r="C935" s="40" t="s">
        <v>133</v>
      </c>
      <c r="D935" s="40" t="s">
        <v>155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146</v>
      </c>
      <c r="B936" s="20" t="s">
        <v>1181</v>
      </c>
      <c r="C936" s="40" t="s">
        <v>133</v>
      </c>
      <c r="D936" s="40" t="s">
        <v>155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148</v>
      </c>
      <c r="B937" s="20" t="s">
        <v>1181</v>
      </c>
      <c r="C937" s="40" t="s">
        <v>133</v>
      </c>
      <c r="D937" s="40" t="s">
        <v>155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402</v>
      </c>
      <c r="B938" s="20" t="s">
        <v>1181</v>
      </c>
      <c r="C938" s="40" t="s">
        <v>133</v>
      </c>
      <c r="D938" s="40" t="s">
        <v>155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1182</v>
      </c>
      <c r="B939" s="24" t="s">
        <v>859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18" t="s">
        <v>898</v>
      </c>
      <c r="B940" s="24" t="s">
        <v>1260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132</v>
      </c>
      <c r="B941" s="20" t="s">
        <v>1260</v>
      </c>
      <c r="C941" s="40" t="s">
        <v>133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154</v>
      </c>
      <c r="B942" s="20" t="s">
        <v>1260</v>
      </c>
      <c r="C942" s="40" t="s">
        <v>133</v>
      </c>
      <c r="D942" s="40" t="s">
        <v>155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186</v>
      </c>
      <c r="B943" s="20" t="s">
        <v>899</v>
      </c>
      <c r="C943" s="40" t="s">
        <v>133</v>
      </c>
      <c r="D943" s="40" t="s">
        <v>155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146</v>
      </c>
      <c r="B944" s="20" t="s">
        <v>899</v>
      </c>
      <c r="C944" s="40" t="s">
        <v>133</v>
      </c>
      <c r="D944" s="40" t="s">
        <v>155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148</v>
      </c>
      <c r="B945" s="20" t="s">
        <v>899</v>
      </c>
      <c r="C945" s="40" t="s">
        <v>133</v>
      </c>
      <c r="D945" s="40" t="s">
        <v>155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163</v>
      </c>
      <c r="B946" s="20" t="s">
        <v>899</v>
      </c>
      <c r="C946" s="40" t="s">
        <v>133</v>
      </c>
      <c r="D946" s="40" t="s">
        <v>155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1184</v>
      </c>
      <c r="B947" s="24" t="s">
        <v>860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900</v>
      </c>
      <c r="B948" s="24" t="s">
        <v>908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132</v>
      </c>
      <c r="B949" s="20" t="s">
        <v>908</v>
      </c>
      <c r="C949" s="40" t="s">
        <v>133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154</v>
      </c>
      <c r="B950" s="20" t="s">
        <v>908</v>
      </c>
      <c r="C950" s="40" t="s">
        <v>133</v>
      </c>
      <c r="D950" s="40" t="s">
        <v>155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190</v>
      </c>
      <c r="B951" s="20" t="s">
        <v>901</v>
      </c>
      <c r="C951" s="40" t="s">
        <v>133</v>
      </c>
      <c r="D951" s="40" t="s">
        <v>155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146</v>
      </c>
      <c r="B952" s="20" t="s">
        <v>901</v>
      </c>
      <c r="C952" s="40" t="s">
        <v>133</v>
      </c>
      <c r="D952" s="40" t="s">
        <v>155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148</v>
      </c>
      <c r="B953" s="20" t="s">
        <v>901</v>
      </c>
      <c r="C953" s="40" t="s">
        <v>133</v>
      </c>
      <c r="D953" s="40" t="s">
        <v>155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163</v>
      </c>
      <c r="B954" s="20" t="s">
        <v>901</v>
      </c>
      <c r="C954" s="40" t="s">
        <v>133</v>
      </c>
      <c r="D954" s="40" t="s">
        <v>155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10" customFormat="1" ht="47.25" x14ac:dyDescent="0.25">
      <c r="A955" s="23" t="s">
        <v>1355</v>
      </c>
      <c r="B955" s="24" t="s">
        <v>1354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10" customFormat="1" ht="31.5" x14ac:dyDescent="0.25">
      <c r="A956" s="23" t="s">
        <v>1356</v>
      </c>
      <c r="B956" s="24" t="s">
        <v>1357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10" customFormat="1" ht="15.75" x14ac:dyDescent="0.25">
      <c r="A957" s="29" t="s">
        <v>405</v>
      </c>
      <c r="B957" s="20" t="s">
        <v>1357</v>
      </c>
      <c r="C957" s="40" t="s">
        <v>249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10" customFormat="1" ht="15.75" x14ac:dyDescent="0.25">
      <c r="A958" s="29" t="s">
        <v>532</v>
      </c>
      <c r="B958" s="20" t="s">
        <v>1357</v>
      </c>
      <c r="C958" s="40" t="s">
        <v>249</v>
      </c>
      <c r="D958" s="40" t="s">
        <v>228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10" customFormat="1" ht="31.5" x14ac:dyDescent="0.25">
      <c r="A959" s="29" t="s">
        <v>1359</v>
      </c>
      <c r="B959" s="20" t="s">
        <v>1358</v>
      </c>
      <c r="C959" s="40" t="s">
        <v>249</v>
      </c>
      <c r="D959" s="40" t="s">
        <v>228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10" customFormat="1" ht="31.5" x14ac:dyDescent="0.25">
      <c r="A960" s="45" t="s">
        <v>146</v>
      </c>
      <c r="B960" s="20" t="s">
        <v>1358</v>
      </c>
      <c r="C960" s="40" t="s">
        <v>249</v>
      </c>
      <c r="D960" s="40" t="s">
        <v>228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10" customFormat="1" ht="47.25" x14ac:dyDescent="0.25">
      <c r="A961" s="45" t="s">
        <v>148</v>
      </c>
      <c r="B961" s="20" t="s">
        <v>1358</v>
      </c>
      <c r="C961" s="40" t="s">
        <v>249</v>
      </c>
      <c r="D961" s="40" t="s">
        <v>228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10" customFormat="1" ht="63" x14ac:dyDescent="0.25">
      <c r="A962" s="29" t="s">
        <v>1302</v>
      </c>
      <c r="B962" s="20" t="s">
        <v>1358</v>
      </c>
      <c r="C962" s="40" t="s">
        <v>249</v>
      </c>
      <c r="D962" s="40" t="s">
        <v>228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672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506106.212</v>
      </c>
      <c r="H963" s="121" t="e">
        <f>H947+H939+H931+H923+H865+H830+H761+H704+H673+H516+H455+H443+H405+H393+H160+H27+H9+H780+H955</f>
        <v>#REF!</v>
      </c>
    </row>
    <row r="965" spans="1:8" hidden="1" x14ac:dyDescent="0.25">
      <c r="G965" s="231">
        <f>'пр.5.1.ведом.21-22'!G1160</f>
        <v>505529.53200000001</v>
      </c>
      <c r="H965" s="231">
        <f>'пр.5.1.ведом.21-22'!H1160</f>
        <v>480267.02000000008</v>
      </c>
    </row>
    <row r="966" spans="1:8" hidden="1" x14ac:dyDescent="0.25"/>
    <row r="967" spans="1:8" hidden="1" x14ac:dyDescent="0.25">
      <c r="G967" s="231">
        <f>G965-G963</f>
        <v>-576.67999999999302</v>
      </c>
      <c r="H967" s="231" t="e">
        <f>H965-H963</f>
        <v>#REF!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Normal="100" zoomScaleSheetLayoutView="100" workbookViewId="0">
      <selection activeCell="H1" sqref="H1:I1"/>
    </sheetView>
  </sheetViews>
  <sheetFormatPr defaultRowHeight="15" x14ac:dyDescent="0.25"/>
  <cols>
    <col min="1" max="1" width="36.28515625" customWidth="1"/>
    <col min="2" max="2" width="14.5703125" style="210" customWidth="1"/>
    <col min="3" max="3" width="4.5703125" customWidth="1"/>
    <col min="4" max="4" width="5.140625" customWidth="1"/>
    <col min="5" max="5" width="6.140625" style="210" customWidth="1"/>
    <col min="6" max="6" width="7.5703125" customWidth="1"/>
    <col min="7" max="7" width="10.7109375" customWidth="1"/>
    <col min="8" max="8" width="11.28515625" customWidth="1"/>
    <col min="9" max="9" width="11.85546875" customWidth="1"/>
  </cols>
  <sheetData>
    <row r="1" spans="1:9" ht="18.75" customHeight="1" x14ac:dyDescent="0.25">
      <c r="A1" s="442"/>
      <c r="B1" s="442"/>
      <c r="C1" s="442"/>
      <c r="D1" s="62"/>
      <c r="E1" s="62"/>
      <c r="H1" s="444" t="s">
        <v>1682</v>
      </c>
      <c r="I1" s="444"/>
    </row>
    <row r="2" spans="1:9" ht="18.75" customHeight="1" x14ac:dyDescent="0.25">
      <c r="A2" s="442"/>
      <c r="B2" s="442"/>
      <c r="C2" s="442"/>
      <c r="D2" s="62"/>
      <c r="E2" s="62"/>
      <c r="H2" s="444" t="s">
        <v>1676</v>
      </c>
      <c r="I2" s="444"/>
    </row>
    <row r="3" spans="1:9" ht="15.75" x14ac:dyDescent="0.25">
      <c r="A3" s="62"/>
      <c r="B3" s="62"/>
      <c r="C3" s="62"/>
      <c r="D3" s="62"/>
      <c r="E3" s="62"/>
      <c r="G3" s="345"/>
      <c r="H3" s="443" t="s">
        <v>1681</v>
      </c>
      <c r="I3" s="443"/>
    </row>
    <row r="4" spans="1:9" s="210" customFormat="1" ht="15.75" x14ac:dyDescent="0.25">
      <c r="A4" s="62"/>
      <c r="B4" s="62"/>
      <c r="C4" s="62"/>
      <c r="D4" s="62"/>
      <c r="E4" s="62"/>
      <c r="F4" s="62"/>
      <c r="G4" s="130"/>
    </row>
    <row r="5" spans="1:9" s="210" customFormat="1" ht="15.75" x14ac:dyDescent="0.25">
      <c r="A5" s="62"/>
      <c r="B5" s="62"/>
      <c r="C5" s="62"/>
      <c r="D5" s="62"/>
      <c r="E5" s="62"/>
      <c r="F5" s="62"/>
      <c r="G5" s="130"/>
    </row>
    <row r="6" spans="1:9" ht="15" customHeight="1" x14ac:dyDescent="0.25">
      <c r="A6" s="434" t="s">
        <v>1680</v>
      </c>
      <c r="B6" s="434"/>
      <c r="C6" s="434"/>
      <c r="D6" s="434"/>
      <c r="E6" s="434"/>
      <c r="F6" s="434"/>
      <c r="G6" s="434"/>
      <c r="H6" s="434"/>
      <c r="I6" s="434"/>
    </row>
    <row r="7" spans="1:9" ht="15" customHeight="1" x14ac:dyDescent="0.25">
      <c r="A7" s="434"/>
      <c r="B7" s="434"/>
      <c r="C7" s="434"/>
      <c r="D7" s="434"/>
      <c r="E7" s="434"/>
      <c r="F7" s="434"/>
      <c r="G7" s="434"/>
      <c r="H7" s="434"/>
      <c r="I7" s="434"/>
    </row>
    <row r="8" spans="1:9" ht="16.5" x14ac:dyDescent="0.25">
      <c r="A8" s="246"/>
      <c r="B8" s="246"/>
      <c r="C8" s="246"/>
      <c r="D8" s="246"/>
      <c r="E8" s="246"/>
      <c r="F8" s="246"/>
      <c r="G8" s="246"/>
    </row>
    <row r="9" spans="1:9" ht="15.75" x14ac:dyDescent="0.25">
      <c r="A9" s="62"/>
      <c r="B9" s="62"/>
      <c r="C9" s="62"/>
      <c r="D9" s="62"/>
      <c r="E9" s="62"/>
      <c r="F9" s="64"/>
      <c r="G9" s="65"/>
    </row>
    <row r="10" spans="1:9" ht="60" x14ac:dyDescent="0.25">
      <c r="A10" s="66" t="s">
        <v>607</v>
      </c>
      <c r="B10" s="66" t="s">
        <v>1289</v>
      </c>
      <c r="C10" s="66" t="s">
        <v>1287</v>
      </c>
      <c r="D10" s="66" t="s">
        <v>128</v>
      </c>
      <c r="E10" s="66" t="s">
        <v>1288</v>
      </c>
      <c r="F10" s="66" t="s">
        <v>126</v>
      </c>
      <c r="G10" s="357" t="s">
        <v>1606</v>
      </c>
      <c r="H10" s="357" t="s">
        <v>1607</v>
      </c>
      <c r="I10" s="357" t="s">
        <v>1608</v>
      </c>
    </row>
    <row r="11" spans="1:9" s="210" customFormat="1" ht="63" hidden="1" x14ac:dyDescent="0.25">
      <c r="A11" s="239" t="s">
        <v>1199</v>
      </c>
      <c r="B11" s="20" t="s">
        <v>1220</v>
      </c>
      <c r="C11" s="40"/>
      <c r="D11" s="40"/>
      <c r="E11" s="40"/>
      <c r="F11" s="5"/>
      <c r="G11" s="6">
        <f t="shared" ref="G11:I15" si="0">G12</f>
        <v>0</v>
      </c>
      <c r="H11" s="337">
        <f t="shared" si="0"/>
        <v>0</v>
      </c>
      <c r="I11" s="337">
        <f t="shared" si="0"/>
        <v>0</v>
      </c>
    </row>
    <row r="12" spans="1:9" s="210" customFormat="1" ht="15.75" hidden="1" x14ac:dyDescent="0.25">
      <c r="A12" s="45" t="s">
        <v>278</v>
      </c>
      <c r="B12" s="20" t="s">
        <v>1220</v>
      </c>
      <c r="C12" s="40" t="s">
        <v>279</v>
      </c>
      <c r="D12" s="40"/>
      <c r="E12" s="206"/>
      <c r="F12" s="5"/>
      <c r="G12" s="6">
        <f t="shared" si="0"/>
        <v>0</v>
      </c>
      <c r="H12" s="337">
        <f t="shared" si="0"/>
        <v>0</v>
      </c>
      <c r="I12" s="337">
        <f t="shared" si="0"/>
        <v>0</v>
      </c>
    </row>
    <row r="13" spans="1:9" s="210" customFormat="1" ht="31.5" hidden="1" x14ac:dyDescent="0.25">
      <c r="A13" s="45" t="s">
        <v>481</v>
      </c>
      <c r="B13" s="20" t="s">
        <v>1220</v>
      </c>
      <c r="C13" s="40" t="s">
        <v>279</v>
      </c>
      <c r="D13" s="40" t="s">
        <v>279</v>
      </c>
      <c r="E13" s="206"/>
      <c r="F13" s="5"/>
      <c r="G13" s="6">
        <f t="shared" si="0"/>
        <v>0</v>
      </c>
      <c r="H13" s="337">
        <f t="shared" si="0"/>
        <v>0</v>
      </c>
      <c r="I13" s="337">
        <f t="shared" si="0"/>
        <v>0</v>
      </c>
    </row>
    <row r="14" spans="1:9" ht="31.5" hidden="1" x14ac:dyDescent="0.25">
      <c r="A14" s="29" t="s">
        <v>263</v>
      </c>
      <c r="B14" s="20" t="s">
        <v>1220</v>
      </c>
      <c r="C14" s="40" t="s">
        <v>279</v>
      </c>
      <c r="D14" s="40" t="s">
        <v>279</v>
      </c>
      <c r="E14" s="40" t="s">
        <v>264</v>
      </c>
      <c r="F14" s="5"/>
      <c r="G14" s="6">
        <f t="shared" si="0"/>
        <v>0</v>
      </c>
      <c r="H14" s="337">
        <f t="shared" si="0"/>
        <v>0</v>
      </c>
      <c r="I14" s="337">
        <f t="shared" si="0"/>
        <v>0</v>
      </c>
    </row>
    <row r="15" spans="1:9" ht="39.200000000000003" hidden="1" customHeight="1" x14ac:dyDescent="0.25">
      <c r="A15" s="29" t="s">
        <v>363</v>
      </c>
      <c r="B15" s="20" t="s">
        <v>1220</v>
      </c>
      <c r="C15" s="40" t="s">
        <v>279</v>
      </c>
      <c r="D15" s="40" t="s">
        <v>279</v>
      </c>
      <c r="E15" s="40" t="s">
        <v>364</v>
      </c>
      <c r="F15" s="5"/>
      <c r="G15" s="6">
        <f t="shared" si="0"/>
        <v>0</v>
      </c>
      <c r="H15" s="337">
        <f t="shared" si="0"/>
        <v>0</v>
      </c>
      <c r="I15" s="337">
        <f t="shared" si="0"/>
        <v>0</v>
      </c>
    </row>
    <row r="16" spans="1:9" s="210" customFormat="1" ht="66.2" hidden="1" customHeight="1" x14ac:dyDescent="0.25">
      <c r="A16" s="45" t="s">
        <v>673</v>
      </c>
      <c r="B16" s="20" t="s">
        <v>1220</v>
      </c>
      <c r="C16" s="40" t="s">
        <v>279</v>
      </c>
      <c r="D16" s="40" t="s">
        <v>279</v>
      </c>
      <c r="E16" s="40" t="s">
        <v>364</v>
      </c>
      <c r="F16" s="5">
        <v>903</v>
      </c>
      <c r="G16" s="6"/>
      <c r="H16" s="337"/>
      <c r="I16" s="337"/>
    </row>
    <row r="17" spans="1:9" s="210" customFormat="1" ht="38.1" customHeight="1" x14ac:dyDescent="0.25">
      <c r="A17" s="25" t="s">
        <v>1201</v>
      </c>
      <c r="B17" s="20" t="s">
        <v>977</v>
      </c>
      <c r="C17" s="40"/>
      <c r="D17" s="40"/>
      <c r="E17" s="40"/>
      <c r="F17" s="5"/>
      <c r="G17" s="6">
        <f t="shared" ref="G17:H21" si="1">G18</f>
        <v>280</v>
      </c>
      <c r="H17" s="337">
        <f t="shared" si="1"/>
        <v>280</v>
      </c>
      <c r="I17" s="337">
        <f>H17/G17*100</f>
        <v>100</v>
      </c>
    </row>
    <row r="18" spans="1:9" s="210" customFormat="1" ht="17.649999999999999" customHeight="1" x14ac:dyDescent="0.25">
      <c r="A18" s="25" t="s">
        <v>1277</v>
      </c>
      <c r="B18" s="20" t="s">
        <v>977</v>
      </c>
      <c r="C18" s="40" t="s">
        <v>259</v>
      </c>
      <c r="D18" s="40"/>
      <c r="E18" s="40"/>
      <c r="F18" s="5"/>
      <c r="G18" s="6">
        <f t="shared" si="1"/>
        <v>280</v>
      </c>
      <c r="H18" s="337">
        <f t="shared" si="1"/>
        <v>280</v>
      </c>
      <c r="I18" s="337">
        <f t="shared" ref="I18:I41" si="2">H18/G18*100</f>
        <v>100</v>
      </c>
    </row>
    <row r="19" spans="1:9" s="210" customFormat="1" ht="21.75" customHeight="1" x14ac:dyDescent="0.25">
      <c r="A19" s="29" t="s">
        <v>267</v>
      </c>
      <c r="B19" s="20" t="s">
        <v>977</v>
      </c>
      <c r="C19" s="40" t="s">
        <v>259</v>
      </c>
      <c r="D19" s="40" t="s">
        <v>230</v>
      </c>
      <c r="E19" s="40"/>
      <c r="F19" s="5"/>
      <c r="G19" s="6">
        <f t="shared" si="1"/>
        <v>280</v>
      </c>
      <c r="H19" s="337">
        <f t="shared" si="1"/>
        <v>280</v>
      </c>
      <c r="I19" s="337">
        <f t="shared" si="2"/>
        <v>100</v>
      </c>
    </row>
    <row r="20" spans="1:9" s="210" customFormat="1" ht="33.75" customHeight="1" x14ac:dyDescent="0.25">
      <c r="A20" s="25" t="s">
        <v>263</v>
      </c>
      <c r="B20" s="20" t="s">
        <v>977</v>
      </c>
      <c r="C20" s="40" t="s">
        <v>259</v>
      </c>
      <c r="D20" s="40" t="s">
        <v>230</v>
      </c>
      <c r="E20" s="40" t="s">
        <v>264</v>
      </c>
      <c r="F20" s="5"/>
      <c r="G20" s="6">
        <f t="shared" si="1"/>
        <v>280</v>
      </c>
      <c r="H20" s="337">
        <f t="shared" si="1"/>
        <v>280</v>
      </c>
      <c r="I20" s="337">
        <f t="shared" si="2"/>
        <v>100</v>
      </c>
    </row>
    <row r="21" spans="1:9" s="210" customFormat="1" ht="37.5" customHeight="1" x14ac:dyDescent="0.25">
      <c r="A21" s="25" t="s">
        <v>363</v>
      </c>
      <c r="B21" s="20" t="s">
        <v>977</v>
      </c>
      <c r="C21" s="40" t="s">
        <v>259</v>
      </c>
      <c r="D21" s="40" t="s">
        <v>230</v>
      </c>
      <c r="E21" s="40" t="s">
        <v>364</v>
      </c>
      <c r="F21" s="5"/>
      <c r="G21" s="6">
        <f t="shared" si="1"/>
        <v>280</v>
      </c>
      <c r="H21" s="337">
        <f t="shared" si="1"/>
        <v>280</v>
      </c>
      <c r="I21" s="337">
        <f t="shared" si="2"/>
        <v>100</v>
      </c>
    </row>
    <row r="22" spans="1:9" s="210" customFormat="1" ht="66.2" customHeight="1" x14ac:dyDescent="0.25">
      <c r="A22" s="45" t="s">
        <v>673</v>
      </c>
      <c r="B22" s="20" t="s">
        <v>977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'Пр.4 ведом.20'!G484</f>
        <v>280</v>
      </c>
      <c r="H22" s="337">
        <f>'Пр.4 ведом.20'!H484</f>
        <v>280</v>
      </c>
      <c r="I22" s="337">
        <f t="shared" si="2"/>
        <v>100</v>
      </c>
    </row>
    <row r="23" spans="1:9" s="210" customFormat="1" ht="66.599999999999994" customHeight="1" x14ac:dyDescent="0.25">
      <c r="A23" s="99" t="s">
        <v>1204</v>
      </c>
      <c r="B23" s="20" t="s">
        <v>980</v>
      </c>
      <c r="C23" s="40"/>
      <c r="D23" s="40"/>
      <c r="E23" s="40"/>
      <c r="F23" s="5"/>
      <c r="G23" s="6">
        <f t="shared" ref="G23:H27" si="3">G24</f>
        <v>498</v>
      </c>
      <c r="H23" s="337">
        <f t="shared" si="3"/>
        <v>497.95</v>
      </c>
      <c r="I23" s="337">
        <f t="shared" si="2"/>
        <v>99.989959839357425</v>
      </c>
    </row>
    <row r="24" spans="1:9" ht="15.75" x14ac:dyDescent="0.25">
      <c r="A24" s="80" t="s">
        <v>258</v>
      </c>
      <c r="B24" s="20" t="s">
        <v>980</v>
      </c>
      <c r="C24" s="9" t="s">
        <v>259</v>
      </c>
      <c r="D24" s="9"/>
      <c r="E24" s="9"/>
      <c r="F24" s="9"/>
      <c r="G24" s="10">
        <f t="shared" si="3"/>
        <v>498</v>
      </c>
      <c r="H24" s="313">
        <f t="shared" si="3"/>
        <v>497.95</v>
      </c>
      <c r="I24" s="337">
        <f t="shared" si="2"/>
        <v>99.989959839357425</v>
      </c>
    </row>
    <row r="25" spans="1:9" ht="21.2" customHeight="1" x14ac:dyDescent="0.25">
      <c r="A25" s="29" t="s">
        <v>267</v>
      </c>
      <c r="B25" s="20" t="s">
        <v>980</v>
      </c>
      <c r="C25" s="40" t="s">
        <v>259</v>
      </c>
      <c r="D25" s="40" t="s">
        <v>230</v>
      </c>
      <c r="E25" s="40"/>
      <c r="F25" s="5"/>
      <c r="G25" s="6">
        <f t="shared" si="3"/>
        <v>498</v>
      </c>
      <c r="H25" s="337">
        <f t="shared" si="3"/>
        <v>497.95</v>
      </c>
      <c r="I25" s="337">
        <f t="shared" si="2"/>
        <v>99.989959839357425</v>
      </c>
    </row>
    <row r="26" spans="1:9" ht="31.5" x14ac:dyDescent="0.25">
      <c r="A26" s="29" t="s">
        <v>263</v>
      </c>
      <c r="B26" s="20" t="s">
        <v>980</v>
      </c>
      <c r="C26" s="40" t="s">
        <v>259</v>
      </c>
      <c r="D26" s="40" t="s">
        <v>230</v>
      </c>
      <c r="E26" s="40" t="s">
        <v>264</v>
      </c>
      <c r="F26" s="5"/>
      <c r="G26" s="6">
        <f t="shared" si="3"/>
        <v>498</v>
      </c>
      <c r="H26" s="337">
        <f t="shared" si="3"/>
        <v>497.95</v>
      </c>
      <c r="I26" s="337">
        <f t="shared" si="2"/>
        <v>99.989959839357425</v>
      </c>
    </row>
    <row r="27" spans="1:9" ht="31.5" x14ac:dyDescent="0.25">
      <c r="A27" s="29" t="s">
        <v>363</v>
      </c>
      <c r="B27" s="20" t="s">
        <v>980</v>
      </c>
      <c r="C27" s="40" t="s">
        <v>259</v>
      </c>
      <c r="D27" s="40" t="s">
        <v>230</v>
      </c>
      <c r="E27" s="81" t="s">
        <v>364</v>
      </c>
      <c r="F27" s="5"/>
      <c r="G27" s="6">
        <f t="shared" si="3"/>
        <v>498</v>
      </c>
      <c r="H27" s="337">
        <f t="shared" si="3"/>
        <v>497.95</v>
      </c>
      <c r="I27" s="337">
        <f t="shared" si="2"/>
        <v>99.989959839357425</v>
      </c>
    </row>
    <row r="28" spans="1:9" s="210" customFormat="1" ht="68.650000000000006" customHeight="1" x14ac:dyDescent="0.25">
      <c r="A28" s="45" t="s">
        <v>673</v>
      </c>
      <c r="B28" s="20" t="s">
        <v>980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'Пр.4 ведом.20'!G489</f>
        <v>498</v>
      </c>
      <c r="H28" s="337">
        <f>'Пр.4 ведом.20'!H489</f>
        <v>497.95</v>
      </c>
      <c r="I28" s="337">
        <f t="shared" si="2"/>
        <v>99.989959839357425</v>
      </c>
    </row>
    <row r="29" spans="1:9" ht="31.5" hidden="1" x14ac:dyDescent="0.25">
      <c r="A29" s="25" t="s">
        <v>1147</v>
      </c>
      <c r="B29" s="20" t="s">
        <v>982</v>
      </c>
      <c r="C29" s="40"/>
      <c r="D29" s="40"/>
      <c r="E29" s="40"/>
      <c r="F29" s="5"/>
      <c r="G29" s="6">
        <f t="shared" ref="G29:H33" si="4">G30</f>
        <v>0</v>
      </c>
      <c r="H29" s="337">
        <f t="shared" si="4"/>
        <v>0</v>
      </c>
      <c r="I29" s="337" t="e">
        <f t="shared" si="2"/>
        <v>#DIV/0!</v>
      </c>
    </row>
    <row r="30" spans="1:9" s="210" customFormat="1" ht="15.75" hidden="1" x14ac:dyDescent="0.25">
      <c r="A30" s="80" t="s">
        <v>258</v>
      </c>
      <c r="B30" s="20" t="s">
        <v>982</v>
      </c>
      <c r="C30" s="40" t="s">
        <v>259</v>
      </c>
      <c r="D30" s="40"/>
      <c r="E30" s="40"/>
      <c r="F30" s="5"/>
      <c r="G30" s="6">
        <f t="shared" si="4"/>
        <v>0</v>
      </c>
      <c r="H30" s="337">
        <f t="shared" si="4"/>
        <v>0</v>
      </c>
      <c r="I30" s="337" t="e">
        <f t="shared" si="2"/>
        <v>#DIV/0!</v>
      </c>
    </row>
    <row r="31" spans="1:9" ht="31.5" hidden="1" x14ac:dyDescent="0.25">
      <c r="A31" s="29" t="s">
        <v>267</v>
      </c>
      <c r="B31" s="20" t="s">
        <v>982</v>
      </c>
      <c r="C31" s="40" t="s">
        <v>259</v>
      </c>
      <c r="D31" s="40" t="s">
        <v>230</v>
      </c>
      <c r="E31" s="40"/>
      <c r="F31" s="5"/>
      <c r="G31" s="6">
        <f t="shared" si="4"/>
        <v>0</v>
      </c>
      <c r="H31" s="337">
        <f t="shared" si="4"/>
        <v>0</v>
      </c>
      <c r="I31" s="337" t="e">
        <f t="shared" si="2"/>
        <v>#DIV/0!</v>
      </c>
    </row>
    <row r="32" spans="1:9" ht="31.5" hidden="1" x14ac:dyDescent="0.25">
      <c r="A32" s="29" t="s">
        <v>263</v>
      </c>
      <c r="B32" s="20" t="s">
        <v>982</v>
      </c>
      <c r="C32" s="40" t="s">
        <v>259</v>
      </c>
      <c r="D32" s="40" t="s">
        <v>230</v>
      </c>
      <c r="E32" s="40" t="s">
        <v>264</v>
      </c>
      <c r="F32" s="5"/>
      <c r="G32" s="6">
        <f t="shared" si="4"/>
        <v>0</v>
      </c>
      <c r="H32" s="337">
        <f t="shared" si="4"/>
        <v>0</v>
      </c>
      <c r="I32" s="337" t="e">
        <f t="shared" si="2"/>
        <v>#DIV/0!</v>
      </c>
    </row>
    <row r="33" spans="1:9" ht="31.5" hidden="1" x14ac:dyDescent="0.25">
      <c r="A33" s="29" t="s">
        <v>363</v>
      </c>
      <c r="B33" s="20" t="s">
        <v>982</v>
      </c>
      <c r="C33" s="40" t="s">
        <v>259</v>
      </c>
      <c r="D33" s="40" t="s">
        <v>230</v>
      </c>
      <c r="E33" s="40" t="s">
        <v>364</v>
      </c>
      <c r="F33" s="5"/>
      <c r="G33" s="6">
        <f t="shared" si="4"/>
        <v>0</v>
      </c>
      <c r="H33" s="337">
        <f t="shared" si="4"/>
        <v>0</v>
      </c>
      <c r="I33" s="337" t="e">
        <f t="shared" si="2"/>
        <v>#DIV/0!</v>
      </c>
    </row>
    <row r="34" spans="1:9" s="210" customFormat="1" ht="63" hidden="1" x14ac:dyDescent="0.25">
      <c r="A34" s="45" t="s">
        <v>673</v>
      </c>
      <c r="B34" s="20" t="s">
        <v>982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'Пр.4 ведом.20'!G495</f>
        <v>0</v>
      </c>
      <c r="H34" s="337">
        <f>'Пр.4 ведом.20'!H495</f>
        <v>0</v>
      </c>
      <c r="I34" s="337" t="e">
        <f t="shared" si="2"/>
        <v>#DIV/0!</v>
      </c>
    </row>
    <row r="35" spans="1:9" s="210" customFormat="1" ht="63" x14ac:dyDescent="0.25">
      <c r="A35" s="25" t="s">
        <v>1205</v>
      </c>
      <c r="B35" s="20" t="s">
        <v>983</v>
      </c>
      <c r="C35" s="40"/>
      <c r="D35" s="40"/>
      <c r="E35" s="40"/>
      <c r="F35" s="5"/>
      <c r="G35" s="6">
        <f t="shared" ref="G35:H38" si="5">G36</f>
        <v>194</v>
      </c>
      <c r="H35" s="337">
        <f t="shared" si="5"/>
        <v>194</v>
      </c>
      <c r="I35" s="337">
        <f t="shared" si="2"/>
        <v>100</v>
      </c>
    </row>
    <row r="36" spans="1:9" s="210" customFormat="1" ht="15.75" x14ac:dyDescent="0.25">
      <c r="A36" s="80" t="s">
        <v>258</v>
      </c>
      <c r="B36" s="20" t="s">
        <v>983</v>
      </c>
      <c r="C36" s="40" t="s">
        <v>259</v>
      </c>
      <c r="D36" s="40"/>
      <c r="E36" s="40"/>
      <c r="F36" s="5"/>
      <c r="G36" s="6">
        <f t="shared" si="5"/>
        <v>194</v>
      </c>
      <c r="H36" s="337">
        <f t="shared" si="5"/>
        <v>194</v>
      </c>
      <c r="I36" s="337">
        <f t="shared" si="2"/>
        <v>100</v>
      </c>
    </row>
    <row r="37" spans="1:9" ht="18.399999999999999" customHeight="1" x14ac:dyDescent="0.25">
      <c r="A37" s="29" t="s">
        <v>267</v>
      </c>
      <c r="B37" s="20" t="s">
        <v>983</v>
      </c>
      <c r="C37" s="40" t="s">
        <v>259</v>
      </c>
      <c r="D37" s="40" t="s">
        <v>230</v>
      </c>
      <c r="E37" s="40"/>
      <c r="F37" s="5">
        <v>903</v>
      </c>
      <c r="G37" s="6">
        <f t="shared" si="5"/>
        <v>194</v>
      </c>
      <c r="H37" s="337">
        <f t="shared" si="5"/>
        <v>194</v>
      </c>
      <c r="I37" s="337">
        <f t="shared" si="2"/>
        <v>100</v>
      </c>
    </row>
    <row r="38" spans="1:9" ht="31.5" x14ac:dyDescent="0.25">
      <c r="A38" s="29" t="s">
        <v>263</v>
      </c>
      <c r="B38" s="20" t="s">
        <v>983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 t="shared" si="5"/>
        <v>194</v>
      </c>
      <c r="H38" s="337">
        <f t="shared" si="5"/>
        <v>194</v>
      </c>
      <c r="I38" s="337">
        <f t="shared" si="2"/>
        <v>100</v>
      </c>
    </row>
    <row r="39" spans="1:9" ht="31.5" x14ac:dyDescent="0.25">
      <c r="A39" s="29" t="s">
        <v>363</v>
      </c>
      <c r="B39" s="20" t="s">
        <v>983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'Пр.4 ведом.20'!G500</f>
        <v>194</v>
      </c>
      <c r="H39" s="337">
        <f>'Пр.4 ведом.20'!H500</f>
        <v>194</v>
      </c>
      <c r="I39" s="337">
        <f t="shared" si="2"/>
        <v>100</v>
      </c>
    </row>
    <row r="40" spans="1:9" s="210" customFormat="1" ht="65.849999999999994" customHeight="1" x14ac:dyDescent="0.25">
      <c r="A40" s="45" t="s">
        <v>673</v>
      </c>
      <c r="B40" s="20" t="s">
        <v>983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'Пр.4 ведом.20'!G500</f>
        <v>194</v>
      </c>
      <c r="H40" s="337">
        <f>'Пр.4 ведом.20'!H500</f>
        <v>194</v>
      </c>
      <c r="I40" s="337">
        <f t="shared" si="2"/>
        <v>100</v>
      </c>
    </row>
    <row r="41" spans="1:9" ht="15.75" x14ac:dyDescent="0.25">
      <c r="A41" s="41" t="s">
        <v>672</v>
      </c>
      <c r="B41" s="247"/>
      <c r="C41" s="247"/>
      <c r="D41" s="247"/>
      <c r="E41" s="247"/>
      <c r="F41" s="41"/>
      <c r="G41" s="59">
        <f>G11+G17+G23+G29+G35</f>
        <v>972</v>
      </c>
      <c r="H41" s="325">
        <f>H11+H17+H23+H29+H35</f>
        <v>971.95</v>
      </c>
      <c r="I41" s="4">
        <f t="shared" si="2"/>
        <v>99.994855967078195</v>
      </c>
    </row>
  </sheetData>
  <mergeCells count="5">
    <mergeCell ref="A1:C2"/>
    <mergeCell ref="H3:I3"/>
    <mergeCell ref="H1:I1"/>
    <mergeCell ref="H2:I2"/>
    <mergeCell ref="A6:I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1" workbookViewId="0">
      <selection activeCell="G3" sqref="G3:H3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42"/>
      <c r="B1" s="442"/>
      <c r="C1" s="442"/>
      <c r="D1" s="62"/>
      <c r="E1" s="62"/>
      <c r="F1" s="211"/>
      <c r="G1" s="444" t="s">
        <v>1605</v>
      </c>
      <c r="H1" s="444"/>
      <c r="I1" s="211"/>
    </row>
    <row r="2" spans="1:9" ht="15.75" x14ac:dyDescent="0.25">
      <c r="A2" s="442"/>
      <c r="B2" s="442"/>
      <c r="C2" s="442"/>
      <c r="D2" s="62"/>
      <c r="E2" s="62"/>
      <c r="F2" s="211"/>
      <c r="G2" s="444" t="s">
        <v>0</v>
      </c>
      <c r="H2" s="444"/>
      <c r="I2" s="211"/>
    </row>
    <row r="3" spans="1:9" ht="15.75" x14ac:dyDescent="0.25">
      <c r="A3" s="62"/>
      <c r="B3" s="62"/>
      <c r="C3" s="62"/>
      <c r="D3" s="62"/>
      <c r="E3" s="62"/>
      <c r="F3" s="62"/>
      <c r="G3" s="435" t="s">
        <v>1600</v>
      </c>
      <c r="H3" s="435"/>
      <c r="I3" s="211"/>
    </row>
    <row r="4" spans="1:9" s="210" customFormat="1" ht="15.75" x14ac:dyDescent="0.25">
      <c r="A4" s="62"/>
      <c r="B4" s="62"/>
      <c r="C4" s="62"/>
      <c r="D4" s="62"/>
      <c r="E4" s="62"/>
      <c r="F4" s="62"/>
      <c r="G4" s="62"/>
      <c r="H4" s="130"/>
      <c r="I4" s="211"/>
    </row>
    <row r="5" spans="1:9" ht="39.200000000000003" customHeight="1" x14ac:dyDescent="0.25">
      <c r="A5" s="434" t="s">
        <v>1587</v>
      </c>
      <c r="B5" s="434"/>
      <c r="C5" s="434"/>
      <c r="D5" s="434"/>
      <c r="E5" s="434"/>
      <c r="F5" s="434"/>
      <c r="G5" s="434"/>
      <c r="H5" s="434"/>
      <c r="I5" s="211"/>
    </row>
    <row r="6" spans="1:9" ht="16.5" x14ac:dyDescent="0.25">
      <c r="A6" s="246"/>
      <c r="B6" s="246"/>
      <c r="C6" s="246"/>
      <c r="D6" s="246"/>
      <c r="E6" s="246"/>
      <c r="F6" s="246"/>
      <c r="G6" s="246"/>
      <c r="H6" s="211"/>
      <c r="I6" s="211"/>
    </row>
    <row r="7" spans="1:9" ht="15.75" x14ac:dyDescent="0.25">
      <c r="A7" s="62"/>
      <c r="B7" s="62"/>
      <c r="C7" s="62"/>
      <c r="D7" s="62"/>
      <c r="E7" s="62"/>
      <c r="F7" s="64"/>
      <c r="G7" s="211"/>
      <c r="H7" s="65" t="s">
        <v>1</v>
      </c>
      <c r="I7" s="211"/>
    </row>
    <row r="8" spans="1:9" ht="47.25" x14ac:dyDescent="0.25">
      <c r="A8" s="66" t="s">
        <v>607</v>
      </c>
      <c r="B8" s="66" t="s">
        <v>1289</v>
      </c>
      <c r="C8" s="66" t="s">
        <v>1287</v>
      </c>
      <c r="D8" s="66" t="s">
        <v>128</v>
      </c>
      <c r="E8" s="66" t="s">
        <v>1288</v>
      </c>
      <c r="F8" s="66" t="s">
        <v>126</v>
      </c>
      <c r="G8" s="66" t="s">
        <v>1191</v>
      </c>
      <c r="H8" s="66" t="s">
        <v>1192</v>
      </c>
      <c r="I8" s="211"/>
    </row>
    <row r="9" spans="1:9" ht="68.25" hidden="1" customHeight="1" x14ac:dyDescent="0.25">
      <c r="A9" s="239" t="s">
        <v>1199</v>
      </c>
      <c r="B9" s="20" t="s">
        <v>1220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11"/>
    </row>
    <row r="10" spans="1:9" ht="15.75" hidden="1" x14ac:dyDescent="0.25">
      <c r="A10" s="45" t="s">
        <v>278</v>
      </c>
      <c r="B10" s="20" t="s">
        <v>1220</v>
      </c>
      <c r="C10" s="40" t="s">
        <v>279</v>
      </c>
      <c r="D10" s="40"/>
      <c r="E10" s="206"/>
      <c r="F10" s="5"/>
      <c r="G10" s="6">
        <f t="shared" si="0"/>
        <v>0</v>
      </c>
      <c r="H10" s="6">
        <f t="shared" si="0"/>
        <v>0</v>
      </c>
      <c r="I10" s="211"/>
    </row>
    <row r="11" spans="1:9" ht="31.5" hidden="1" x14ac:dyDescent="0.25">
      <c r="A11" s="45" t="s">
        <v>481</v>
      </c>
      <c r="B11" s="20" t="s">
        <v>1220</v>
      </c>
      <c r="C11" s="40" t="s">
        <v>279</v>
      </c>
      <c r="D11" s="40" t="s">
        <v>279</v>
      </c>
      <c r="E11" s="206"/>
      <c r="F11" s="5"/>
      <c r="G11" s="6">
        <f t="shared" si="0"/>
        <v>0</v>
      </c>
      <c r="H11" s="6">
        <f t="shared" si="0"/>
        <v>0</v>
      </c>
      <c r="I11" s="211"/>
    </row>
    <row r="12" spans="1:9" ht="31.5" hidden="1" x14ac:dyDescent="0.25">
      <c r="A12" s="29" t="s">
        <v>263</v>
      </c>
      <c r="B12" s="20" t="s">
        <v>1220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0</v>
      </c>
      <c r="H12" s="6">
        <f t="shared" si="0"/>
        <v>0</v>
      </c>
      <c r="I12" s="211"/>
    </row>
    <row r="13" spans="1:9" ht="31.5" hidden="1" x14ac:dyDescent="0.25">
      <c r="A13" s="29" t="s">
        <v>363</v>
      </c>
      <c r="B13" s="20" t="s">
        <v>1220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0</v>
      </c>
      <c r="H13" s="6">
        <f t="shared" si="0"/>
        <v>0</v>
      </c>
      <c r="I13" s="211"/>
    </row>
    <row r="14" spans="1:9" ht="47.25" hidden="1" x14ac:dyDescent="0.25">
      <c r="A14" s="45" t="s">
        <v>673</v>
      </c>
      <c r="B14" s="20" t="s">
        <v>1220</v>
      </c>
      <c r="C14" s="40" t="s">
        <v>279</v>
      </c>
      <c r="D14" s="40" t="s">
        <v>279</v>
      </c>
      <c r="E14" s="40" t="s">
        <v>364</v>
      </c>
      <c r="F14" s="5">
        <v>903</v>
      </c>
      <c r="G14" s="6"/>
      <c r="H14" s="6"/>
      <c r="I14" s="211"/>
    </row>
    <row r="15" spans="1:9" ht="31.5" x14ac:dyDescent="0.25">
      <c r="A15" s="25" t="s">
        <v>1201</v>
      </c>
      <c r="B15" s="20" t="s">
        <v>977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11"/>
    </row>
    <row r="16" spans="1:9" ht="15.75" x14ac:dyDescent="0.25">
      <c r="A16" s="25" t="s">
        <v>1277</v>
      </c>
      <c r="B16" s="20" t="s">
        <v>977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11"/>
    </row>
    <row r="17" spans="1:9" ht="15.75" x14ac:dyDescent="0.25">
      <c r="A17" s="29" t="s">
        <v>267</v>
      </c>
      <c r="B17" s="20" t="s">
        <v>977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11"/>
    </row>
    <row r="18" spans="1:9" ht="31.5" x14ac:dyDescent="0.25">
      <c r="A18" s="25" t="s">
        <v>263</v>
      </c>
      <c r="B18" s="20" t="s">
        <v>977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11"/>
    </row>
    <row r="19" spans="1:9" ht="31.5" x14ac:dyDescent="0.25">
      <c r="A19" s="25" t="s">
        <v>363</v>
      </c>
      <c r="B19" s="20" t="s">
        <v>977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11"/>
    </row>
    <row r="20" spans="1:9" ht="47.25" x14ac:dyDescent="0.25">
      <c r="A20" s="45" t="s">
        <v>673</v>
      </c>
      <c r="B20" s="20" t="s">
        <v>977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11"/>
    </row>
    <row r="21" spans="1:9" ht="63" x14ac:dyDescent="0.25">
      <c r="A21" s="99" t="s">
        <v>1204</v>
      </c>
      <c r="B21" s="20" t="s">
        <v>980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11"/>
    </row>
    <row r="22" spans="1:9" ht="15.75" x14ac:dyDescent="0.25">
      <c r="A22" s="80" t="s">
        <v>258</v>
      </c>
      <c r="B22" s="20" t="s">
        <v>980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11"/>
    </row>
    <row r="23" spans="1:9" ht="15.75" x14ac:dyDescent="0.25">
      <c r="A23" s="29" t="s">
        <v>267</v>
      </c>
      <c r="B23" s="20" t="s">
        <v>980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11"/>
    </row>
    <row r="24" spans="1:9" ht="31.5" x14ac:dyDescent="0.25">
      <c r="A24" s="29" t="s">
        <v>263</v>
      </c>
      <c r="B24" s="20" t="s">
        <v>980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11"/>
    </row>
    <row r="25" spans="1:9" ht="31.5" x14ac:dyDescent="0.25">
      <c r="A25" s="29" t="s">
        <v>363</v>
      </c>
      <c r="B25" s="20" t="s">
        <v>980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11"/>
    </row>
    <row r="26" spans="1:9" ht="47.25" x14ac:dyDescent="0.25">
      <c r="A26" s="45" t="s">
        <v>673</v>
      </c>
      <c r="B26" s="20" t="s">
        <v>980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11"/>
    </row>
    <row r="27" spans="1:9" ht="31.5" x14ac:dyDescent="0.25">
      <c r="A27" s="25" t="s">
        <v>1147</v>
      </c>
      <c r="B27" s="20" t="s">
        <v>982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11"/>
    </row>
    <row r="28" spans="1:9" ht="15.75" x14ac:dyDescent="0.25">
      <c r="A28" s="80" t="s">
        <v>258</v>
      </c>
      <c r="B28" s="20" t="s">
        <v>982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11"/>
    </row>
    <row r="29" spans="1:9" ht="15.75" x14ac:dyDescent="0.25">
      <c r="A29" s="29" t="s">
        <v>267</v>
      </c>
      <c r="B29" s="20" t="s">
        <v>982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11"/>
    </row>
    <row r="30" spans="1:9" ht="31.5" x14ac:dyDescent="0.25">
      <c r="A30" s="29" t="s">
        <v>263</v>
      </c>
      <c r="B30" s="20" t="s">
        <v>982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11"/>
    </row>
    <row r="31" spans="1:9" ht="31.5" x14ac:dyDescent="0.25">
      <c r="A31" s="29" t="s">
        <v>363</v>
      </c>
      <c r="B31" s="20" t="s">
        <v>982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11"/>
    </row>
    <row r="32" spans="1:9" ht="47.25" x14ac:dyDescent="0.25">
      <c r="A32" s="45" t="s">
        <v>673</v>
      </c>
      <c r="B32" s="20" t="s">
        <v>982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11"/>
    </row>
    <row r="33" spans="1:9" ht="63" x14ac:dyDescent="0.25">
      <c r="A33" s="25" t="s">
        <v>1205</v>
      </c>
      <c r="B33" s="20" t="s">
        <v>983</v>
      </c>
      <c r="C33" s="40"/>
      <c r="D33" s="40"/>
      <c r="E33" s="40"/>
      <c r="F33" s="5"/>
      <c r="G33" s="6" t="e">
        <f t="shared" ref="G33:H36" si="4">G34</f>
        <v>#REF!</v>
      </c>
      <c r="H33" s="6" t="e">
        <f t="shared" si="4"/>
        <v>#REF!</v>
      </c>
      <c r="I33" s="211"/>
    </row>
    <row r="34" spans="1:9" ht="15.75" x14ac:dyDescent="0.25">
      <c r="A34" s="80" t="s">
        <v>258</v>
      </c>
      <c r="B34" s="20" t="s">
        <v>983</v>
      </c>
      <c r="C34" s="40" t="s">
        <v>259</v>
      </c>
      <c r="D34" s="40"/>
      <c r="E34" s="40"/>
      <c r="F34" s="5"/>
      <c r="G34" s="6" t="e">
        <f t="shared" si="4"/>
        <v>#REF!</v>
      </c>
      <c r="H34" s="6" t="e">
        <f t="shared" si="4"/>
        <v>#REF!</v>
      </c>
      <c r="I34" s="211"/>
    </row>
    <row r="35" spans="1:9" ht="15.75" x14ac:dyDescent="0.25">
      <c r="A35" s="29" t="s">
        <v>267</v>
      </c>
      <c r="B35" s="20" t="s">
        <v>983</v>
      </c>
      <c r="C35" s="40" t="s">
        <v>259</v>
      </c>
      <c r="D35" s="40" t="s">
        <v>230</v>
      </c>
      <c r="E35" s="40"/>
      <c r="F35" s="5">
        <v>903</v>
      </c>
      <c r="G35" s="6" t="e">
        <f t="shared" si="4"/>
        <v>#REF!</v>
      </c>
      <c r="H35" s="6" t="e">
        <f t="shared" si="4"/>
        <v>#REF!</v>
      </c>
      <c r="I35" s="211"/>
    </row>
    <row r="36" spans="1:9" ht="31.5" x14ac:dyDescent="0.25">
      <c r="A36" s="29" t="s">
        <v>263</v>
      </c>
      <c r="B36" s="20" t="s">
        <v>983</v>
      </c>
      <c r="C36" s="40" t="s">
        <v>259</v>
      </c>
      <c r="D36" s="40" t="s">
        <v>230</v>
      </c>
      <c r="E36" s="40" t="s">
        <v>264</v>
      </c>
      <c r="F36" s="5">
        <v>903</v>
      </c>
      <c r="G36" s="6" t="e">
        <f t="shared" si="4"/>
        <v>#REF!</v>
      </c>
      <c r="H36" s="6" t="e">
        <f t="shared" si="4"/>
        <v>#REF!</v>
      </c>
      <c r="I36" s="211"/>
    </row>
    <row r="37" spans="1:9" ht="31.5" x14ac:dyDescent="0.25">
      <c r="A37" s="29" t="s">
        <v>363</v>
      </c>
      <c r="B37" s="20" t="s">
        <v>983</v>
      </c>
      <c r="C37" s="40" t="s">
        <v>259</v>
      </c>
      <c r="D37" s="40" t="s">
        <v>230</v>
      </c>
      <c r="E37" s="40" t="s">
        <v>364</v>
      </c>
      <c r="F37" s="5">
        <v>903</v>
      </c>
      <c r="G37" s="6" t="e">
        <f>'Пр.4 ведом.20'!#REF!</f>
        <v>#REF!</v>
      </c>
      <c r="H37" s="6" t="e">
        <f>'Пр.4 ведом.20'!#REF!</f>
        <v>#REF!</v>
      </c>
      <c r="I37" s="211"/>
    </row>
    <row r="38" spans="1:9" ht="47.25" x14ac:dyDescent="0.25">
      <c r="A38" s="45" t="s">
        <v>673</v>
      </c>
      <c r="B38" s="20" t="s">
        <v>983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11"/>
    </row>
    <row r="39" spans="1:9" ht="15.75" x14ac:dyDescent="0.25">
      <c r="A39" s="41" t="s">
        <v>672</v>
      </c>
      <c r="B39" s="247"/>
      <c r="C39" s="247"/>
      <c r="D39" s="247"/>
      <c r="E39" s="247"/>
      <c r="F39" s="41"/>
      <c r="G39" s="59" t="e">
        <f>G9+G15+G21+G27+G33</f>
        <v>#REF!</v>
      </c>
      <c r="H39" s="59" t="e">
        <f>H9+H15+H21+H27+H33</f>
        <v>#REF!</v>
      </c>
      <c r="I39" s="211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93" zoomScaleNormal="100" zoomScaleSheetLayoutView="93" workbookViewId="0">
      <selection activeCell="D32" sqref="D32"/>
    </sheetView>
  </sheetViews>
  <sheetFormatPr defaultRowHeight="15" x14ac:dyDescent="0.25"/>
  <cols>
    <col min="1" max="1" width="30.5703125" customWidth="1"/>
    <col min="2" max="2" width="45.140625" customWidth="1"/>
    <col min="3" max="3" width="12.5703125" customWidth="1"/>
    <col min="4" max="4" width="12.85546875" customWidth="1"/>
    <col min="5" max="5" width="14.5703125" hidden="1" customWidth="1"/>
  </cols>
  <sheetData>
    <row r="1" spans="1:5" ht="15.75" x14ac:dyDescent="0.25">
      <c r="A1" s="12"/>
      <c r="C1" s="447" t="s">
        <v>1621</v>
      </c>
      <c r="D1" s="447"/>
    </row>
    <row r="2" spans="1:5" ht="15.75" x14ac:dyDescent="0.25">
      <c r="A2" s="12"/>
      <c r="B2" s="12"/>
      <c r="C2" s="447" t="s">
        <v>0</v>
      </c>
      <c r="D2" s="447"/>
    </row>
    <row r="3" spans="1:5" ht="15.75" x14ac:dyDescent="0.25">
      <c r="A3" s="12"/>
      <c r="B3" s="12"/>
      <c r="C3" s="448" t="s">
        <v>1674</v>
      </c>
      <c r="D3" s="448"/>
    </row>
    <row r="4" spans="1:5" s="309" customFormat="1" ht="15.75" x14ac:dyDescent="0.25">
      <c r="A4" s="12"/>
      <c r="B4" s="12"/>
      <c r="C4" s="367"/>
      <c r="D4" s="368"/>
    </row>
    <row r="5" spans="1:5" ht="16.5" x14ac:dyDescent="0.25">
      <c r="A5" s="445" t="s">
        <v>1616</v>
      </c>
      <c r="B5" s="445"/>
      <c r="C5" s="445"/>
      <c r="D5" s="445"/>
      <c r="E5" s="445"/>
    </row>
    <row r="6" spans="1:5" ht="16.5" x14ac:dyDescent="0.25">
      <c r="A6" s="445" t="s">
        <v>1617</v>
      </c>
      <c r="B6" s="445"/>
      <c r="C6" s="445"/>
      <c r="D6" s="445"/>
      <c r="E6" s="445"/>
    </row>
    <row r="7" spans="1:5" ht="15.75" x14ac:dyDescent="0.25">
      <c r="A7" s="82"/>
      <c r="B7" s="82"/>
    </row>
    <row r="8" spans="1:5" ht="15.75" x14ac:dyDescent="0.25">
      <c r="A8" s="12"/>
      <c r="B8" s="12"/>
      <c r="C8" s="83"/>
    </row>
    <row r="9" spans="1:5" ht="43.5" customHeight="1" x14ac:dyDescent="0.25">
      <c r="A9" s="79" t="s">
        <v>675</v>
      </c>
      <c r="B9" s="79" t="s">
        <v>676</v>
      </c>
      <c r="C9" s="357" t="s">
        <v>1606</v>
      </c>
      <c r="D9" s="357" t="s">
        <v>1607</v>
      </c>
      <c r="E9" s="357" t="s">
        <v>1608</v>
      </c>
    </row>
    <row r="10" spans="1:5" ht="33" x14ac:dyDescent="0.25">
      <c r="A10" s="84" t="s">
        <v>677</v>
      </c>
      <c r="B10" s="85" t="s">
        <v>678</v>
      </c>
      <c r="C10" s="298">
        <f>C11-C13</f>
        <v>24627.882399999886</v>
      </c>
      <c r="D10" s="298">
        <f t="shared" ref="D10" si="0">D11-D13</f>
        <v>-16440.580090000065</v>
      </c>
      <c r="E10" s="298"/>
    </row>
    <row r="11" spans="1:5" ht="31.5" x14ac:dyDescent="0.25">
      <c r="A11" s="86" t="s">
        <v>679</v>
      </c>
      <c r="B11" s="87" t="s">
        <v>680</v>
      </c>
      <c r="C11" s="299">
        <f>C12</f>
        <v>24627.9</v>
      </c>
      <c r="D11" s="299">
        <f t="shared" ref="D11" si="1">D12</f>
        <v>25231.600000000002</v>
      </c>
      <c r="E11" s="299"/>
    </row>
    <row r="12" spans="1:5" ht="31.5" x14ac:dyDescent="0.25">
      <c r="A12" s="88" t="s">
        <v>681</v>
      </c>
      <c r="B12" s="89" t="s">
        <v>682</v>
      </c>
      <c r="C12" s="300">
        <v>24627.9</v>
      </c>
      <c r="D12" s="300">
        <f>24627.9+603.7</f>
        <v>25231.600000000002</v>
      </c>
      <c r="E12" s="300"/>
    </row>
    <row r="13" spans="1:5" ht="31.5" x14ac:dyDescent="0.25">
      <c r="A13" s="86" t="s">
        <v>683</v>
      </c>
      <c r="B13" s="87" t="s">
        <v>684</v>
      </c>
      <c r="C13" s="298">
        <f>C14</f>
        <v>1.7600000115635339E-2</v>
      </c>
      <c r="D13" s="298">
        <f t="shared" ref="D13" si="2">D14</f>
        <v>41672.180090000067</v>
      </c>
      <c r="E13" s="298"/>
    </row>
    <row r="14" spans="1:5" ht="31.5" x14ac:dyDescent="0.25">
      <c r="A14" s="88" t="s">
        <v>685</v>
      </c>
      <c r="B14" s="89" t="s">
        <v>686</v>
      </c>
      <c r="C14" s="300">
        <f>C12+C20</f>
        <v>1.7600000115635339E-2</v>
      </c>
      <c r="D14" s="300">
        <f t="shared" ref="D14" si="3">D12+D20</f>
        <v>41672.180090000067</v>
      </c>
      <c r="E14" s="300"/>
    </row>
    <row r="15" spans="1:5" ht="16.5" x14ac:dyDescent="0.25">
      <c r="A15" s="86" t="s">
        <v>672</v>
      </c>
      <c r="B15" s="89"/>
      <c r="C15" s="301">
        <f>C12-C14</f>
        <v>24627.882399999886</v>
      </c>
      <c r="D15" s="301">
        <f t="shared" ref="D15" si="4">D12-D14</f>
        <v>-16440.580090000065</v>
      </c>
      <c r="E15" s="301">
        <f>D15/C15*100</f>
        <v>-66.755963111144879</v>
      </c>
    </row>
    <row r="17" spans="2:4" ht="15.75" x14ac:dyDescent="0.25">
      <c r="B17" s="449" t="s">
        <v>1683</v>
      </c>
    </row>
    <row r="18" spans="2:4" x14ac:dyDescent="0.25">
      <c r="B18" t="s">
        <v>687</v>
      </c>
      <c r="C18">
        <f>пр.1дох.20!C188</f>
        <v>757611.66200000001</v>
      </c>
      <c r="D18" s="345">
        <f>пр.1дох.20!D188</f>
        <v>769729.97211999993</v>
      </c>
    </row>
    <row r="19" spans="2:4" x14ac:dyDescent="0.25">
      <c r="B19" t="s">
        <v>688</v>
      </c>
      <c r="C19" s="344">
        <f>'пр.2 Рд,пр 20'!D50</f>
        <v>782239.5443999999</v>
      </c>
      <c r="D19" s="344">
        <f>'пр.2 Рд,пр 20'!E50</f>
        <v>753289.39202999987</v>
      </c>
    </row>
    <row r="20" spans="2:4" x14ac:dyDescent="0.25">
      <c r="B20" t="s">
        <v>689</v>
      </c>
      <c r="C20" s="344">
        <f t="shared" ref="C20:D20" si="5">C18-C19</f>
        <v>-24627.882399999886</v>
      </c>
      <c r="D20" s="344">
        <f t="shared" si="5"/>
        <v>16440.580090000061</v>
      </c>
    </row>
    <row r="22" spans="2:4" x14ac:dyDescent="0.25">
      <c r="D22" s="22"/>
    </row>
  </sheetData>
  <mergeCells count="5">
    <mergeCell ref="A5:E5"/>
    <mergeCell ref="A6:E6"/>
    <mergeCell ref="C2:D2"/>
    <mergeCell ref="C1:D1"/>
    <mergeCell ref="C3:D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8" sqref="D18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10"/>
      <c r="D1" s="208" t="s">
        <v>1281</v>
      </c>
    </row>
    <row r="2" spans="1:4" ht="15.75" x14ac:dyDescent="0.25">
      <c r="A2" s="12"/>
      <c r="B2" s="12"/>
      <c r="D2" s="208" t="s">
        <v>0</v>
      </c>
    </row>
    <row r="3" spans="1:4" ht="15.75" x14ac:dyDescent="0.25">
      <c r="A3" s="12"/>
      <c r="B3" s="12"/>
      <c r="C3" s="210"/>
    </row>
    <row r="4" spans="1:4" ht="16.5" x14ac:dyDescent="0.25">
      <c r="A4" s="445" t="s">
        <v>674</v>
      </c>
      <c r="B4" s="445"/>
      <c r="C4" s="445"/>
      <c r="D4" s="445"/>
    </row>
    <row r="5" spans="1:4" ht="16.5" x14ac:dyDescent="0.25">
      <c r="A5" s="445" t="s">
        <v>1280</v>
      </c>
      <c r="B5" s="445"/>
      <c r="C5" s="445"/>
      <c r="D5" s="445"/>
    </row>
    <row r="6" spans="1:4" ht="15.75" x14ac:dyDescent="0.25">
      <c r="A6" s="82"/>
      <c r="B6" s="82"/>
      <c r="C6" s="210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675</v>
      </c>
      <c r="B8" s="79" t="s">
        <v>676</v>
      </c>
      <c r="C8" s="180" t="s">
        <v>1191</v>
      </c>
      <c r="D8" s="180" t="s">
        <v>1192</v>
      </c>
    </row>
    <row r="9" spans="1:4" ht="44.45" customHeight="1" x14ac:dyDescent="0.25">
      <c r="A9" s="84" t="s">
        <v>677</v>
      </c>
      <c r="B9" s="85" t="s">
        <v>678</v>
      </c>
      <c r="C9" s="298">
        <f>C10-C12</f>
        <v>-2.0000000949949026E-4</v>
      </c>
      <c r="D9" s="241">
        <f>C9</f>
        <v>-2.0000000949949026E-4</v>
      </c>
    </row>
    <row r="10" spans="1:4" ht="33.75" customHeight="1" x14ac:dyDescent="0.25">
      <c r="A10" s="86" t="s">
        <v>679</v>
      </c>
      <c r="B10" s="87" t="s">
        <v>680</v>
      </c>
      <c r="C10" s="299">
        <f>C11</f>
        <v>-2.0000000949949026E-4</v>
      </c>
      <c r="D10" s="241">
        <f t="shared" ref="D10:D14" si="0">C10</f>
        <v>-2.0000000949949026E-4</v>
      </c>
    </row>
    <row r="11" spans="1:4" ht="36.75" customHeight="1" x14ac:dyDescent="0.25">
      <c r="A11" s="88" t="s">
        <v>681</v>
      </c>
      <c r="B11" s="89" t="s">
        <v>682</v>
      </c>
      <c r="C11" s="300">
        <f>C19*(-1)</f>
        <v>-2.0000000949949026E-4</v>
      </c>
      <c r="D11" s="242">
        <f>D19*(-1)</f>
        <v>-2.0000000949949026E-4</v>
      </c>
    </row>
    <row r="12" spans="1:4" ht="33" customHeight="1" x14ac:dyDescent="0.25">
      <c r="A12" s="86" t="s">
        <v>683</v>
      </c>
      <c r="B12" s="87" t="s">
        <v>684</v>
      </c>
      <c r="C12" s="298">
        <f>C13</f>
        <v>0</v>
      </c>
      <c r="D12" s="241">
        <f t="shared" si="0"/>
        <v>0</v>
      </c>
    </row>
    <row r="13" spans="1:4" ht="30.75" customHeight="1" x14ac:dyDescent="0.25">
      <c r="A13" s="88" t="s">
        <v>685</v>
      </c>
      <c r="B13" s="89" t="s">
        <v>686</v>
      </c>
      <c r="C13" s="300">
        <f>C11+C19</f>
        <v>0</v>
      </c>
      <c r="D13" s="242">
        <f t="shared" si="0"/>
        <v>0</v>
      </c>
    </row>
    <row r="14" spans="1:4" ht="16.5" x14ac:dyDescent="0.25">
      <c r="A14" s="86" t="s">
        <v>672</v>
      </c>
      <c r="B14" s="89"/>
      <c r="C14" s="301">
        <f>C11-C13</f>
        <v>-2.0000000949949026E-4</v>
      </c>
      <c r="D14" s="241">
        <f t="shared" si="0"/>
        <v>-2.0000000949949026E-4</v>
      </c>
    </row>
    <row r="15" spans="1:4" x14ac:dyDescent="0.25">
      <c r="A15" s="210"/>
      <c r="B15" s="210"/>
      <c r="C15" s="210"/>
    </row>
    <row r="16" spans="1:4" x14ac:dyDescent="0.25">
      <c r="A16" s="210"/>
      <c r="B16" s="210"/>
      <c r="C16" s="210"/>
    </row>
    <row r="17" spans="1:4" x14ac:dyDescent="0.25">
      <c r="A17" s="210"/>
      <c r="B17" s="210" t="s">
        <v>687</v>
      </c>
      <c r="C17" s="210">
        <f>'Пр.1.1. дох.21-22'!C151</f>
        <v>753520.63199999998</v>
      </c>
      <c r="D17" s="345">
        <f>'Пр.1.1. дох.21-22'!D151</f>
        <v>735832.82</v>
      </c>
    </row>
    <row r="18" spans="1:4" x14ac:dyDescent="0.25">
      <c r="A18" s="210"/>
      <c r="B18" s="210" t="s">
        <v>688</v>
      </c>
      <c r="C18" s="240">
        <f>'пр.5.1.ведом.21-22'!G1105</f>
        <v>753520.63179999997</v>
      </c>
      <c r="D18" s="240">
        <f>'пр.5.1.ведом.21-22'!H1105</f>
        <v>735832.81979999994</v>
      </c>
    </row>
    <row r="19" spans="1:4" x14ac:dyDescent="0.25">
      <c r="A19" s="210"/>
      <c r="B19" s="210" t="s">
        <v>689</v>
      </c>
      <c r="C19" s="210">
        <f t="shared" ref="C19:D19" si="1">C17-C18</f>
        <v>2.0000000949949026E-4</v>
      </c>
      <c r="D19" s="210">
        <f t="shared" si="1"/>
        <v>2.0000000949949026E-4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view="pageBreakPreview" topLeftCell="A132" zoomScaleNormal="100" zoomScaleSheetLayoutView="100" workbookViewId="0">
      <selection activeCell="C1" sqref="C1:D1"/>
    </sheetView>
  </sheetViews>
  <sheetFormatPr defaultRowHeight="15" x14ac:dyDescent="0.25"/>
  <cols>
    <col min="1" max="1" width="25" customWidth="1"/>
    <col min="2" max="2" width="71.7109375" style="310" customWidth="1"/>
    <col min="3" max="3" width="16" style="310" customWidth="1"/>
    <col min="4" max="4" width="17.28515625" style="310" customWidth="1"/>
    <col min="5" max="7" width="0" hidden="1" customWidth="1"/>
  </cols>
  <sheetData>
    <row r="1" spans="1:6" ht="15.75" x14ac:dyDescent="0.25">
      <c r="A1" s="129"/>
      <c r="B1" s="129"/>
      <c r="C1" s="430" t="s">
        <v>1599</v>
      </c>
      <c r="D1" s="430"/>
    </row>
    <row r="2" spans="1:6" ht="15.75" x14ac:dyDescent="0.25">
      <c r="A2" s="129"/>
      <c r="B2" s="129"/>
      <c r="C2" s="430" t="s">
        <v>1598</v>
      </c>
      <c r="D2" s="430"/>
    </row>
    <row r="3" spans="1:6" ht="15.75" x14ac:dyDescent="0.25">
      <c r="A3" s="129"/>
      <c r="B3" s="131"/>
      <c r="C3" s="430" t="s">
        <v>1597</v>
      </c>
      <c r="D3" s="430"/>
    </row>
    <row r="4" spans="1:6" s="309" customFormat="1" ht="15.75" x14ac:dyDescent="0.25">
      <c r="A4" s="129"/>
      <c r="B4" s="131"/>
      <c r="C4" s="131"/>
      <c r="D4" s="130"/>
    </row>
    <row r="5" spans="1:6" ht="15.75" x14ac:dyDescent="0.25">
      <c r="A5" s="429" t="s">
        <v>1596</v>
      </c>
      <c r="B5" s="429"/>
      <c r="C5" s="429"/>
      <c r="D5" s="429"/>
    </row>
    <row r="6" spans="1:6" ht="15.75" x14ac:dyDescent="0.25">
      <c r="A6" s="429" t="s">
        <v>1339</v>
      </c>
      <c r="B6" s="429"/>
      <c r="C6" s="429"/>
      <c r="D6" s="429"/>
    </row>
    <row r="7" spans="1:6" ht="15.75" x14ac:dyDescent="0.25">
      <c r="A7" s="429" t="s">
        <v>1340</v>
      </c>
      <c r="B7" s="429"/>
      <c r="C7" s="429"/>
      <c r="D7" s="429"/>
    </row>
    <row r="8" spans="1:6" ht="15.75" x14ac:dyDescent="0.25">
      <c r="A8" s="132"/>
      <c r="B8" s="132"/>
      <c r="C8" s="184"/>
      <c r="D8" s="130" t="s">
        <v>713</v>
      </c>
    </row>
    <row r="9" spans="1:6" ht="33" customHeight="1" x14ac:dyDescent="0.25">
      <c r="A9" s="133" t="s">
        <v>2</v>
      </c>
      <c r="B9" s="134" t="s">
        <v>3</v>
      </c>
      <c r="C9" s="185" t="s">
        <v>1191</v>
      </c>
      <c r="D9" s="209" t="s">
        <v>1192</v>
      </c>
    </row>
    <row r="10" spans="1:6" ht="18.75" x14ac:dyDescent="0.25">
      <c r="A10" s="135" t="s">
        <v>5</v>
      </c>
      <c r="B10" s="136" t="s">
        <v>6</v>
      </c>
      <c r="C10" s="190">
        <f>C11+C17+C22+C32+C40+C43+C49+C55+C58+C63+C71</f>
        <v>300851.23200000002</v>
      </c>
      <c r="D10" s="190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7</v>
      </c>
      <c r="B11" s="136" t="s">
        <v>8</v>
      </c>
      <c r="C11" s="190">
        <f t="shared" ref="C11:D11" si="0">C12</f>
        <v>230821.13200000004</v>
      </c>
      <c r="D11" s="190">
        <f t="shared" si="0"/>
        <v>238476.52000000002</v>
      </c>
    </row>
    <row r="12" spans="1:6" ht="18.75" x14ac:dyDescent="0.25">
      <c r="A12" s="138" t="s">
        <v>9</v>
      </c>
      <c r="B12" s="139" t="s">
        <v>10</v>
      </c>
      <c r="C12" s="190">
        <f t="shared" ref="C12:D12" si="1">SUM(C13:C16)</f>
        <v>230821.13200000004</v>
      </c>
      <c r="D12" s="190">
        <f t="shared" si="1"/>
        <v>238476.52000000002</v>
      </c>
    </row>
    <row r="13" spans="1:6" ht="64.5" customHeight="1" x14ac:dyDescent="0.25">
      <c r="A13" s="209" t="s">
        <v>11</v>
      </c>
      <c r="B13" s="140" t="s">
        <v>12</v>
      </c>
      <c r="C13" s="191">
        <f>217000+14111.72-1043.9+71.912</f>
        <v>230139.73200000002</v>
      </c>
      <c r="D13" s="191">
        <f>217000+21791.32-1043.9</f>
        <v>237747.42</v>
      </c>
    </row>
    <row r="14" spans="1:6" ht="110.25" x14ac:dyDescent="0.25">
      <c r="A14" s="209" t="s">
        <v>13</v>
      </c>
      <c r="B14" s="141" t="s">
        <v>14</v>
      </c>
      <c r="C14" s="191">
        <v>19.600000000000001</v>
      </c>
      <c r="D14" s="191">
        <v>21</v>
      </c>
    </row>
    <row r="15" spans="1:6" ht="47.25" x14ac:dyDescent="0.25">
      <c r="A15" s="209" t="s">
        <v>15</v>
      </c>
      <c r="B15" s="141" t="s">
        <v>16</v>
      </c>
      <c r="C15" s="191">
        <v>637.6</v>
      </c>
      <c r="D15" s="191">
        <v>682.2</v>
      </c>
    </row>
    <row r="16" spans="1:6" ht="78.75" x14ac:dyDescent="0.25">
      <c r="A16" s="209" t="s">
        <v>17</v>
      </c>
      <c r="B16" s="141" t="s">
        <v>18</v>
      </c>
      <c r="C16" s="191">
        <v>24.2</v>
      </c>
      <c r="D16" s="191">
        <v>25.9</v>
      </c>
    </row>
    <row r="17" spans="1:4" ht="31.5" x14ac:dyDescent="0.25">
      <c r="A17" s="142" t="s">
        <v>19</v>
      </c>
      <c r="B17" s="143" t="s">
        <v>20</v>
      </c>
      <c r="C17" s="190">
        <f t="shared" ref="C17:D17" si="2">C18</f>
        <v>3189</v>
      </c>
      <c r="D17" s="190">
        <f t="shared" si="2"/>
        <v>3278</v>
      </c>
    </row>
    <row r="18" spans="1:4" ht="31.5" x14ac:dyDescent="0.25">
      <c r="A18" s="188" t="s">
        <v>21</v>
      </c>
      <c r="B18" s="189" t="s">
        <v>22</v>
      </c>
      <c r="C18" s="190">
        <f t="shared" ref="C18:D18" si="3">SUM(C19:C21)</f>
        <v>3189</v>
      </c>
      <c r="D18" s="190">
        <f t="shared" si="3"/>
        <v>3278</v>
      </c>
    </row>
    <row r="19" spans="1:4" ht="63" x14ac:dyDescent="0.25">
      <c r="A19" s="144" t="s">
        <v>23</v>
      </c>
      <c r="B19" s="141" t="s">
        <v>24</v>
      </c>
      <c r="C19" s="191">
        <v>1470</v>
      </c>
      <c r="D19" s="191">
        <v>1509</v>
      </c>
    </row>
    <row r="20" spans="1:4" ht="78.75" x14ac:dyDescent="0.25">
      <c r="A20" s="249" t="s">
        <v>25</v>
      </c>
      <c r="B20" s="141" t="s">
        <v>26</v>
      </c>
      <c r="C20" s="191">
        <v>7</v>
      </c>
      <c r="D20" s="191">
        <v>7</v>
      </c>
    </row>
    <row r="21" spans="1:4" ht="63" x14ac:dyDescent="0.25">
      <c r="A21" s="249" t="s">
        <v>27</v>
      </c>
      <c r="B21" s="141" t="s">
        <v>28</v>
      </c>
      <c r="C21" s="191">
        <v>1712</v>
      </c>
      <c r="D21" s="191">
        <v>1762</v>
      </c>
    </row>
    <row r="22" spans="1:4" ht="18.75" x14ac:dyDescent="0.25">
      <c r="A22" s="138" t="s">
        <v>29</v>
      </c>
      <c r="B22" s="139" t="s">
        <v>30</v>
      </c>
      <c r="C22" s="190">
        <f>SUM(C23+C28+C30)</f>
        <v>18275.900000000001</v>
      </c>
      <c r="D22" s="190">
        <f>SUM(D23+D28+D30)</f>
        <v>16997.3</v>
      </c>
    </row>
    <row r="23" spans="1:4" ht="31.5" x14ac:dyDescent="0.25">
      <c r="A23" s="135" t="s">
        <v>31</v>
      </c>
      <c r="B23" s="139" t="s">
        <v>32</v>
      </c>
      <c r="C23" s="190">
        <f>C24+C26</f>
        <v>15455</v>
      </c>
      <c r="D23" s="190">
        <f>D24+D26</f>
        <v>16622</v>
      </c>
    </row>
    <row r="24" spans="1:4" s="210" customFormat="1" ht="31.5" x14ac:dyDescent="0.25">
      <c r="A24" s="135" t="s">
        <v>1317</v>
      </c>
      <c r="B24" s="216" t="s">
        <v>34</v>
      </c>
      <c r="C24" s="190">
        <f>C25</f>
        <v>7727.5</v>
      </c>
      <c r="D24" s="190">
        <f>D25</f>
        <v>8311</v>
      </c>
    </row>
    <row r="25" spans="1:4" ht="31.5" x14ac:dyDescent="0.25">
      <c r="A25" s="133" t="s">
        <v>33</v>
      </c>
      <c r="B25" s="145" t="s">
        <v>34</v>
      </c>
      <c r="C25" s="191">
        <f>15455/2</f>
        <v>7727.5</v>
      </c>
      <c r="D25" s="191">
        <f>16622/2</f>
        <v>8311</v>
      </c>
    </row>
    <row r="26" spans="1:4" s="210" customFormat="1" ht="47.25" x14ac:dyDescent="0.25">
      <c r="A26" s="135" t="s">
        <v>1316</v>
      </c>
      <c r="B26" s="253" t="s">
        <v>1315</v>
      </c>
      <c r="C26" s="190">
        <f>C27</f>
        <v>7727.5</v>
      </c>
      <c r="D26" s="190">
        <f>D27</f>
        <v>8311</v>
      </c>
    </row>
    <row r="27" spans="1:4" ht="63" x14ac:dyDescent="0.25">
      <c r="A27" s="133" t="s">
        <v>35</v>
      </c>
      <c r="B27" s="145" t="s">
        <v>36</v>
      </c>
      <c r="C27" s="191">
        <f>C25</f>
        <v>7727.5</v>
      </c>
      <c r="D27" s="191">
        <f>D25</f>
        <v>8311</v>
      </c>
    </row>
    <row r="28" spans="1:4" ht="31.5" x14ac:dyDescent="0.25">
      <c r="A28" s="135" t="s">
        <v>37</v>
      </c>
      <c r="B28" s="139" t="s">
        <v>38</v>
      </c>
      <c r="C28" s="190">
        <f t="shared" ref="C28:D28" si="4">SUM(C29:C29)</f>
        <v>2460</v>
      </c>
      <c r="D28" s="190">
        <f t="shared" si="4"/>
        <v>0</v>
      </c>
    </row>
    <row r="29" spans="1:4" ht="21.75" customHeight="1" x14ac:dyDescent="0.25">
      <c r="A29" s="209" t="s">
        <v>39</v>
      </c>
      <c r="B29" s="235" t="s">
        <v>38</v>
      </c>
      <c r="C29" s="191">
        <v>2460</v>
      </c>
      <c r="D29" s="191">
        <v>0</v>
      </c>
    </row>
    <row r="30" spans="1:4" s="210" customFormat="1" ht="36" customHeight="1" x14ac:dyDescent="0.25">
      <c r="A30" s="135" t="s">
        <v>1329</v>
      </c>
      <c r="B30" s="146" t="s">
        <v>1318</v>
      </c>
      <c r="C30" s="190">
        <f>C31</f>
        <v>360.9</v>
      </c>
      <c r="D30" s="191">
        <f>D31</f>
        <v>375.3</v>
      </c>
    </row>
    <row r="31" spans="1:4" ht="31.5" x14ac:dyDescent="0.25">
      <c r="A31" s="133" t="s">
        <v>40</v>
      </c>
      <c r="B31" s="244" t="s">
        <v>41</v>
      </c>
      <c r="C31" s="191">
        <v>360.9</v>
      </c>
      <c r="D31" s="191">
        <v>375.3</v>
      </c>
    </row>
    <row r="32" spans="1:4" ht="18.75" x14ac:dyDescent="0.25">
      <c r="A32" s="138" t="s">
        <v>42</v>
      </c>
      <c r="B32" s="139" t="s">
        <v>43</v>
      </c>
      <c r="C32" s="190">
        <f>C33+C35</f>
        <v>1238.4000000000001</v>
      </c>
      <c r="D32" s="190">
        <f t="shared" ref="D32" si="5">D33+D35</f>
        <v>1341.4</v>
      </c>
    </row>
    <row r="33" spans="1:6" ht="18.75" x14ac:dyDescent="0.25">
      <c r="A33" s="138" t="s">
        <v>44</v>
      </c>
      <c r="B33" s="139" t="s">
        <v>45</v>
      </c>
      <c r="C33" s="190">
        <f t="shared" ref="C33:D33" si="6">C34</f>
        <v>892.1</v>
      </c>
      <c r="D33" s="190">
        <f t="shared" si="6"/>
        <v>981.3</v>
      </c>
    </row>
    <row r="34" spans="1:6" ht="47.25" x14ac:dyDescent="0.25">
      <c r="A34" s="209" t="s">
        <v>46</v>
      </c>
      <c r="B34" s="145" t="s">
        <v>47</v>
      </c>
      <c r="C34" s="191">
        <v>892.1</v>
      </c>
      <c r="D34" s="191">
        <v>981.3</v>
      </c>
    </row>
    <row r="35" spans="1:6" ht="18.75" x14ac:dyDescent="0.25">
      <c r="A35" s="138" t="s">
        <v>48</v>
      </c>
      <c r="B35" s="139" t="s">
        <v>49</v>
      </c>
      <c r="C35" s="190">
        <f>C36+C38</f>
        <v>346.29999999999995</v>
      </c>
      <c r="D35" s="190">
        <f>D36+D38</f>
        <v>360.1</v>
      </c>
    </row>
    <row r="36" spans="1:6" s="210" customFormat="1" ht="18.75" x14ac:dyDescent="0.25">
      <c r="A36" s="138" t="s">
        <v>1331</v>
      </c>
      <c r="B36" s="139" t="s">
        <v>1330</v>
      </c>
      <c r="C36" s="190">
        <f>C37</f>
        <v>185.1</v>
      </c>
      <c r="D36" s="190">
        <f>D37</f>
        <v>192.5</v>
      </c>
    </row>
    <row r="37" spans="1:6" ht="31.5" x14ac:dyDescent="0.25">
      <c r="A37" s="209" t="s">
        <v>50</v>
      </c>
      <c r="B37" s="145" t="s">
        <v>51</v>
      </c>
      <c r="C37" s="191">
        <v>185.1</v>
      </c>
      <c r="D37" s="191">
        <v>192.5</v>
      </c>
    </row>
    <row r="38" spans="1:6" s="210" customFormat="1" ht="18.75" x14ac:dyDescent="0.25">
      <c r="A38" s="138" t="s">
        <v>1333</v>
      </c>
      <c r="B38" s="139" t="s">
        <v>1332</v>
      </c>
      <c r="C38" s="190">
        <f>C39</f>
        <v>161.19999999999999</v>
      </c>
      <c r="D38" s="190">
        <f>D39</f>
        <v>167.6</v>
      </c>
    </row>
    <row r="39" spans="1:6" ht="31.5" x14ac:dyDescent="0.25">
      <c r="A39" s="209" t="s">
        <v>52</v>
      </c>
      <c r="B39" s="145" t="s">
        <v>53</v>
      </c>
      <c r="C39" s="191">
        <v>161.19999999999999</v>
      </c>
      <c r="D39" s="191">
        <v>167.6</v>
      </c>
    </row>
    <row r="40" spans="1:6" ht="18.75" x14ac:dyDescent="0.25">
      <c r="A40" s="138" t="s">
        <v>54</v>
      </c>
      <c r="B40" s="139" t="s">
        <v>55</v>
      </c>
      <c r="C40" s="190">
        <f t="shared" ref="C40:D41" si="7">C41</f>
        <v>1533</v>
      </c>
      <c r="D40" s="190">
        <f t="shared" si="7"/>
        <v>1594.3</v>
      </c>
    </row>
    <row r="41" spans="1:6" ht="31.5" x14ac:dyDescent="0.25">
      <c r="A41" s="138" t="s">
        <v>56</v>
      </c>
      <c r="B41" s="139" t="s">
        <v>57</v>
      </c>
      <c r="C41" s="190">
        <f t="shared" si="7"/>
        <v>1533</v>
      </c>
      <c r="D41" s="190">
        <f t="shared" si="7"/>
        <v>1594.3</v>
      </c>
    </row>
    <row r="42" spans="1:6" ht="47.25" x14ac:dyDescent="0.25">
      <c r="A42" s="209" t="s">
        <v>58</v>
      </c>
      <c r="B42" s="140" t="s">
        <v>59</v>
      </c>
      <c r="C42" s="191">
        <v>1533</v>
      </c>
      <c r="D42" s="191">
        <v>1594.3</v>
      </c>
    </row>
    <row r="43" spans="1:6" ht="47.25" x14ac:dyDescent="0.25">
      <c r="A43" s="138" t="s">
        <v>60</v>
      </c>
      <c r="B43" s="147" t="s">
        <v>61</v>
      </c>
      <c r="C43" s="190">
        <f t="shared" ref="C43:D43" si="8">C44</f>
        <v>43000</v>
      </c>
      <c r="D43" s="190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62</v>
      </c>
      <c r="B44" s="147" t="s">
        <v>63</v>
      </c>
      <c r="C44" s="190">
        <f t="shared" ref="C44:D44" si="9">C45+C47</f>
        <v>43000</v>
      </c>
      <c r="D44" s="190">
        <f t="shared" si="9"/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:D45" si="10">C46</f>
        <v>38000</v>
      </c>
      <c r="D45" s="190">
        <f t="shared" si="10"/>
        <v>38000</v>
      </c>
    </row>
    <row r="46" spans="1:6" ht="78.75" x14ac:dyDescent="0.25">
      <c r="A46" s="209" t="s">
        <v>66</v>
      </c>
      <c r="B46" s="145" t="s">
        <v>67</v>
      </c>
      <c r="C46" s="191">
        <v>38000</v>
      </c>
      <c r="D46" s="191">
        <v>38000</v>
      </c>
    </row>
    <row r="47" spans="1:6" ht="47.25" x14ac:dyDescent="0.25">
      <c r="A47" s="138" t="s">
        <v>68</v>
      </c>
      <c r="B47" s="139" t="s">
        <v>69</v>
      </c>
      <c r="C47" s="190">
        <f t="shared" ref="C47:D47" si="11">C48</f>
        <v>5000</v>
      </c>
      <c r="D47" s="190">
        <f t="shared" si="11"/>
        <v>5000</v>
      </c>
    </row>
    <row r="48" spans="1:6" ht="31.5" x14ac:dyDescent="0.25">
      <c r="A48" s="209" t="s">
        <v>70</v>
      </c>
      <c r="B48" s="145" t="s">
        <v>71</v>
      </c>
      <c r="C48" s="191">
        <v>5000</v>
      </c>
      <c r="D48" s="191">
        <v>5000</v>
      </c>
    </row>
    <row r="49" spans="1:4" ht="18.75" x14ac:dyDescent="0.25">
      <c r="A49" s="138" t="s">
        <v>72</v>
      </c>
      <c r="B49" s="147" t="s">
        <v>73</v>
      </c>
      <c r="C49" s="190">
        <f t="shared" ref="C49:D49" si="12">SUM(C50)</f>
        <v>1735.8</v>
      </c>
      <c r="D49" s="190">
        <f t="shared" si="12"/>
        <v>1735.8</v>
      </c>
    </row>
    <row r="50" spans="1:4" ht="18.75" x14ac:dyDescent="0.25">
      <c r="A50" s="138" t="s">
        <v>74</v>
      </c>
      <c r="B50" s="147" t="s">
        <v>75</v>
      </c>
      <c r="C50" s="190">
        <f>SUM(C51:C54)</f>
        <v>1735.8</v>
      </c>
      <c r="D50" s="190">
        <f>SUM(D51:D54)</f>
        <v>1735.8</v>
      </c>
    </row>
    <row r="51" spans="1:4" ht="31.5" x14ac:dyDescent="0.25">
      <c r="A51" s="209" t="s">
        <v>76</v>
      </c>
      <c r="B51" s="140" t="s">
        <v>77</v>
      </c>
      <c r="C51" s="191">
        <v>517.9</v>
      </c>
      <c r="D51" s="191">
        <v>517.9</v>
      </c>
    </row>
    <row r="52" spans="1:4" ht="18.75" x14ac:dyDescent="0.25">
      <c r="A52" s="209" t="s">
        <v>78</v>
      </c>
      <c r="B52" s="140" t="s">
        <v>79</v>
      </c>
      <c r="C52" s="191">
        <v>1.1000000000000001</v>
      </c>
      <c r="D52" s="191">
        <v>1.1000000000000001</v>
      </c>
    </row>
    <row r="53" spans="1:4" ht="18.75" x14ac:dyDescent="0.25">
      <c r="A53" s="209" t="s">
        <v>824</v>
      </c>
      <c r="B53" s="140" t="s">
        <v>825</v>
      </c>
      <c r="C53" s="191">
        <v>1060.8</v>
      </c>
      <c r="D53" s="191">
        <v>1060.8</v>
      </c>
    </row>
    <row r="54" spans="1:4" ht="18.75" x14ac:dyDescent="0.25">
      <c r="A54" s="209" t="s">
        <v>826</v>
      </c>
      <c r="B54" s="140" t="s">
        <v>827</v>
      </c>
      <c r="C54" s="191">
        <v>156</v>
      </c>
      <c r="D54" s="191">
        <v>156</v>
      </c>
    </row>
    <row r="55" spans="1:4" ht="31.5" x14ac:dyDescent="0.25">
      <c r="A55" s="138" t="s">
        <v>80</v>
      </c>
      <c r="B55" s="147" t="s">
        <v>81</v>
      </c>
      <c r="C55" s="190">
        <f>C57</f>
        <v>792</v>
      </c>
      <c r="D55" s="190">
        <f>D57</f>
        <v>792</v>
      </c>
    </row>
    <row r="56" spans="1:4" ht="18.75" x14ac:dyDescent="0.25">
      <c r="A56" s="138" t="s">
        <v>82</v>
      </c>
      <c r="B56" s="147" t="s">
        <v>83</v>
      </c>
      <c r="C56" s="190">
        <f>C57</f>
        <v>792</v>
      </c>
      <c r="D56" s="190">
        <f>D57</f>
        <v>792</v>
      </c>
    </row>
    <row r="57" spans="1:4" ht="31.5" x14ac:dyDescent="0.25">
      <c r="A57" s="209" t="s">
        <v>84</v>
      </c>
      <c r="B57" s="140" t="s">
        <v>85</v>
      </c>
      <c r="C57" s="191">
        <v>792</v>
      </c>
      <c r="D57" s="191">
        <f t="shared" ref="D57" si="13">C57</f>
        <v>792</v>
      </c>
    </row>
    <row r="58" spans="1:4" ht="31.5" x14ac:dyDescent="0.25">
      <c r="A58" s="138" t="s">
        <v>86</v>
      </c>
      <c r="B58" s="147" t="s">
        <v>87</v>
      </c>
      <c r="C58" s="190">
        <f t="shared" ref="C58:D58" si="14">SUM(C59+C61)</f>
        <v>236</v>
      </c>
      <c r="D58" s="190">
        <f t="shared" si="14"/>
        <v>236</v>
      </c>
    </row>
    <row r="59" spans="1:4" ht="78.75" x14ac:dyDescent="0.25">
      <c r="A59" s="138" t="s">
        <v>88</v>
      </c>
      <c r="B59" s="147" t="s">
        <v>89</v>
      </c>
      <c r="C59" s="190">
        <f t="shared" ref="C59:D59" si="15">C60</f>
        <v>235</v>
      </c>
      <c r="D59" s="190">
        <f t="shared" si="15"/>
        <v>235</v>
      </c>
    </row>
    <row r="60" spans="1:4" ht="94.5" x14ac:dyDescent="0.25">
      <c r="A60" s="209" t="s">
        <v>90</v>
      </c>
      <c r="B60" s="140" t="s">
        <v>714</v>
      </c>
      <c r="C60" s="191">
        <v>235</v>
      </c>
      <c r="D60" s="191">
        <v>235</v>
      </c>
    </row>
    <row r="61" spans="1:4" ht="31.5" x14ac:dyDescent="0.25">
      <c r="A61" s="138" t="s">
        <v>91</v>
      </c>
      <c r="B61" s="147" t="s">
        <v>92</v>
      </c>
      <c r="C61" s="190">
        <f t="shared" ref="C61:D61" si="16">SUM(C62)</f>
        <v>1</v>
      </c>
      <c r="D61" s="190">
        <f t="shared" si="16"/>
        <v>1</v>
      </c>
    </row>
    <row r="62" spans="1:4" ht="47.25" x14ac:dyDescent="0.25">
      <c r="A62" s="209" t="s">
        <v>93</v>
      </c>
      <c r="B62" s="140" t="s">
        <v>94</v>
      </c>
      <c r="C62" s="191">
        <v>1</v>
      </c>
      <c r="D62" s="191">
        <v>1</v>
      </c>
    </row>
    <row r="63" spans="1:4" ht="18.75" x14ac:dyDescent="0.25">
      <c r="A63" s="138" t="s">
        <v>95</v>
      </c>
      <c r="B63" s="147" t="s">
        <v>96</v>
      </c>
      <c r="C63" s="190">
        <f>C64</f>
        <v>30</v>
      </c>
      <c r="D63" s="190">
        <f>D64</f>
        <v>30</v>
      </c>
    </row>
    <row r="64" spans="1:4" ht="31.5" x14ac:dyDescent="0.25">
      <c r="A64" s="138" t="s">
        <v>1295</v>
      </c>
      <c r="B64" s="243" t="s">
        <v>97</v>
      </c>
      <c r="C64" s="325">
        <f>C65+C67+C69</f>
        <v>30</v>
      </c>
      <c r="D64" s="325">
        <f>D65+D67+D69</f>
        <v>30</v>
      </c>
    </row>
    <row r="65" spans="1:6" s="210" customFormat="1" ht="63" x14ac:dyDescent="0.25">
      <c r="A65" s="138" t="s">
        <v>1312</v>
      </c>
      <c r="B65" s="254" t="s">
        <v>1311</v>
      </c>
      <c r="C65" s="325">
        <f>C66</f>
        <v>10</v>
      </c>
      <c r="D65" s="325">
        <f>D66</f>
        <v>10</v>
      </c>
    </row>
    <row r="66" spans="1:6" s="210" customFormat="1" ht="78.75" x14ac:dyDescent="0.25">
      <c r="A66" s="209" t="s">
        <v>1297</v>
      </c>
      <c r="B66" s="255" t="s">
        <v>1306</v>
      </c>
      <c r="C66" s="313">
        <v>10</v>
      </c>
      <c r="D66" s="313">
        <v>10</v>
      </c>
    </row>
    <row r="67" spans="1:6" s="210" customFormat="1" ht="78.75" x14ac:dyDescent="0.25">
      <c r="A67" s="138" t="s">
        <v>1314</v>
      </c>
      <c r="B67" s="254" t="s">
        <v>1313</v>
      </c>
      <c r="C67" s="325">
        <f>C68</f>
        <v>10</v>
      </c>
      <c r="D67" s="325">
        <f>D68</f>
        <v>10</v>
      </c>
    </row>
    <row r="68" spans="1:6" ht="96" customHeight="1" x14ac:dyDescent="0.25">
      <c r="A68" s="209" t="s">
        <v>1296</v>
      </c>
      <c r="B68" s="255" t="s">
        <v>1307</v>
      </c>
      <c r="C68" s="313">
        <v>10</v>
      </c>
      <c r="D68" s="313">
        <v>10</v>
      </c>
    </row>
    <row r="69" spans="1:6" s="210" customFormat="1" ht="75.2" customHeight="1" x14ac:dyDescent="0.25">
      <c r="A69" s="138" t="s">
        <v>1310</v>
      </c>
      <c r="B69" s="256" t="s">
        <v>1309</v>
      </c>
      <c r="C69" s="325">
        <f>C70</f>
        <v>10</v>
      </c>
      <c r="D69" s="325">
        <f>D70</f>
        <v>10</v>
      </c>
    </row>
    <row r="70" spans="1:6" ht="87.75" customHeight="1" x14ac:dyDescent="0.25">
      <c r="A70" s="209" t="s">
        <v>1300</v>
      </c>
      <c r="B70" s="257" t="s">
        <v>1308</v>
      </c>
      <c r="C70" s="191">
        <v>10</v>
      </c>
      <c r="D70" s="191">
        <v>10</v>
      </c>
    </row>
    <row r="71" spans="1:6" ht="18.75" hidden="1" x14ac:dyDescent="0.25">
      <c r="A71" s="3" t="s">
        <v>1298</v>
      </c>
      <c r="B71" s="187" t="s">
        <v>788</v>
      </c>
      <c r="C71" s="190">
        <f>C72</f>
        <v>0</v>
      </c>
      <c r="D71" s="190">
        <f>D72</f>
        <v>0</v>
      </c>
    </row>
    <row r="72" spans="1:6" ht="18.75" hidden="1" x14ac:dyDescent="0.25">
      <c r="A72" s="3" t="s">
        <v>1299</v>
      </c>
      <c r="B72" s="187" t="s">
        <v>789</v>
      </c>
      <c r="C72" s="190">
        <f t="shared" ref="C72:D72" si="17">SUM(C73)</f>
        <v>0</v>
      </c>
      <c r="D72" s="190">
        <f t="shared" si="17"/>
        <v>0</v>
      </c>
    </row>
    <row r="73" spans="1:6" ht="18.75" hidden="1" x14ac:dyDescent="0.25">
      <c r="A73" s="2" t="s">
        <v>790</v>
      </c>
      <c r="B73" s="186" t="s">
        <v>791</v>
      </c>
      <c r="C73" s="191">
        <v>0</v>
      </c>
      <c r="D73" s="191">
        <v>0</v>
      </c>
    </row>
    <row r="74" spans="1:6" ht="18.75" x14ac:dyDescent="0.25">
      <c r="A74" s="138" t="s">
        <v>98</v>
      </c>
      <c r="B74" s="139" t="s">
        <v>99</v>
      </c>
      <c r="C74" s="190">
        <f>SUM(C75+C145)</f>
        <v>452669.39999999991</v>
      </c>
      <c r="D74" s="190">
        <f>SUM(D75+D145)</f>
        <v>428351.49999999994</v>
      </c>
      <c r="E74" s="22">
        <f>C74-C76</f>
        <v>294544.39999999991</v>
      </c>
      <c r="F74" s="22">
        <f>D74-D76</f>
        <v>270226.49999999994</v>
      </c>
    </row>
    <row r="75" spans="1:6" ht="31.5" x14ac:dyDescent="0.25">
      <c r="A75" s="138" t="s">
        <v>100</v>
      </c>
      <c r="B75" s="139" t="s">
        <v>101</v>
      </c>
      <c r="C75" s="354">
        <f>SUM(C76+C83+C113+C138)</f>
        <v>452669.39999999991</v>
      </c>
      <c r="D75" s="190">
        <f>SUM(D76+D83+D113+D138)</f>
        <v>428351.49999999994</v>
      </c>
      <c r="E75">
        <v>265225.5</v>
      </c>
    </row>
    <row r="76" spans="1:6" ht="18.75" x14ac:dyDescent="0.25">
      <c r="A76" s="138" t="s">
        <v>854</v>
      </c>
      <c r="B76" s="148" t="s">
        <v>102</v>
      </c>
      <c r="C76" s="190">
        <f>C78+C81</f>
        <v>158125</v>
      </c>
      <c r="D76" s="190">
        <f>D78+D81</f>
        <v>158125</v>
      </c>
      <c r="E76" s="22">
        <f>E74-E75</f>
        <v>29318.899999999907</v>
      </c>
    </row>
    <row r="77" spans="1:6" s="210" customFormat="1" ht="19.5" customHeight="1" x14ac:dyDescent="0.25">
      <c r="A77" s="138" t="s">
        <v>1337</v>
      </c>
      <c r="B77" s="148" t="s">
        <v>1334</v>
      </c>
      <c r="C77" s="190">
        <f>C78</f>
        <v>158125</v>
      </c>
      <c r="D77" s="190">
        <f>D78</f>
        <v>158125</v>
      </c>
    </row>
    <row r="78" spans="1:6" ht="36.75" customHeight="1" x14ac:dyDescent="0.25">
      <c r="A78" s="138" t="s">
        <v>853</v>
      </c>
      <c r="B78" s="139" t="s">
        <v>1353</v>
      </c>
      <c r="C78" s="190">
        <f t="shared" ref="C78:D78" si="18">SUM(C79+C80)</f>
        <v>158125</v>
      </c>
      <c r="D78" s="190">
        <f t="shared" si="18"/>
        <v>158125</v>
      </c>
    </row>
    <row r="79" spans="1:6" ht="110.25" x14ac:dyDescent="0.25">
      <c r="A79" s="133" t="s">
        <v>853</v>
      </c>
      <c r="B79" s="145" t="s">
        <v>103</v>
      </c>
      <c r="C79" s="191">
        <v>158125</v>
      </c>
      <c r="D79" s="191">
        <v>158125</v>
      </c>
    </row>
    <row r="80" spans="1:6" ht="94.7" hidden="1" customHeight="1" x14ac:dyDescent="0.25">
      <c r="A80" s="133" t="s">
        <v>853</v>
      </c>
      <c r="B80" s="145" t="s">
        <v>104</v>
      </c>
      <c r="C80" s="191">
        <v>0</v>
      </c>
      <c r="D80" s="191">
        <v>0</v>
      </c>
    </row>
    <row r="81" spans="1:4" s="210" customFormat="1" ht="31.5" hidden="1" x14ac:dyDescent="0.25">
      <c r="A81" s="135" t="s">
        <v>1335</v>
      </c>
      <c r="B81" s="139" t="s">
        <v>1279</v>
      </c>
      <c r="C81" s="190">
        <f>C82</f>
        <v>0</v>
      </c>
      <c r="D81" s="190">
        <f>D82</f>
        <v>0</v>
      </c>
    </row>
    <row r="82" spans="1:4" s="210" customFormat="1" ht="31.5" hidden="1" x14ac:dyDescent="0.25">
      <c r="A82" s="133" t="s">
        <v>1278</v>
      </c>
      <c r="B82" s="145" t="s">
        <v>1279</v>
      </c>
      <c r="C82" s="191">
        <v>0</v>
      </c>
      <c r="D82" s="191">
        <v>0</v>
      </c>
    </row>
    <row r="83" spans="1:4" ht="31.5" x14ac:dyDescent="0.25">
      <c r="A83" s="138" t="s">
        <v>852</v>
      </c>
      <c r="B83" s="139" t="s">
        <v>105</v>
      </c>
      <c r="C83" s="190">
        <f>C89+C94+C99+C90+C92+C96</f>
        <v>38803.300000000003</v>
      </c>
      <c r="D83" s="190">
        <f>D89+D94+D99+D90+D92</f>
        <v>7026.6999999999989</v>
      </c>
    </row>
    <row r="84" spans="1:4" s="210" customFormat="1" ht="47.25" hidden="1" x14ac:dyDescent="0.25">
      <c r="A84" s="269" t="s">
        <v>1374</v>
      </c>
      <c r="B84" s="253" t="s">
        <v>1376</v>
      </c>
      <c r="C84" s="274">
        <f>C85</f>
        <v>0</v>
      </c>
      <c r="D84" s="190"/>
    </row>
    <row r="85" spans="1:4" s="210" customFormat="1" ht="47.25" hidden="1" x14ac:dyDescent="0.25">
      <c r="A85" s="209" t="s">
        <v>1373</v>
      </c>
      <c r="B85" s="99" t="s">
        <v>1375</v>
      </c>
      <c r="C85" s="191">
        <v>0</v>
      </c>
      <c r="D85" s="190"/>
    </row>
    <row r="86" spans="1:4" s="210" customFormat="1" ht="47.25" hidden="1" x14ac:dyDescent="0.25">
      <c r="A86" s="138" t="s">
        <v>1377</v>
      </c>
      <c r="B86" s="216" t="s">
        <v>1380</v>
      </c>
      <c r="C86" s="190">
        <f>C87</f>
        <v>0</v>
      </c>
      <c r="D86" s="190"/>
    </row>
    <row r="87" spans="1:4" s="210" customFormat="1" ht="47.25" hidden="1" x14ac:dyDescent="0.25">
      <c r="A87" s="209" t="s">
        <v>1378</v>
      </c>
      <c r="B87" s="99" t="s">
        <v>1379</v>
      </c>
      <c r="C87" s="191">
        <v>0</v>
      </c>
      <c r="D87" s="190"/>
    </row>
    <row r="88" spans="1:4" ht="31.5" hidden="1" x14ac:dyDescent="0.25">
      <c r="A88" s="248" t="s">
        <v>1320</v>
      </c>
      <c r="B88" s="139" t="s">
        <v>1338</v>
      </c>
      <c r="C88" s="190">
        <f>C89</f>
        <v>0</v>
      </c>
      <c r="D88" s="190">
        <f>D89</f>
        <v>0</v>
      </c>
    </row>
    <row r="89" spans="1:4" s="210" customFormat="1" ht="31.5" hidden="1" x14ac:dyDescent="0.25">
      <c r="A89" s="249" t="s">
        <v>816</v>
      </c>
      <c r="B89" s="145" t="s">
        <v>823</v>
      </c>
      <c r="C89" s="191">
        <v>0</v>
      </c>
      <c r="D89" s="191">
        <v>0</v>
      </c>
    </row>
    <row r="90" spans="1:4" ht="40.700000000000003" hidden="1" customHeight="1" x14ac:dyDescent="0.25">
      <c r="A90" s="248" t="s">
        <v>1322</v>
      </c>
      <c r="B90" s="147" t="s">
        <v>869</v>
      </c>
      <c r="C90" s="190">
        <f>C91</f>
        <v>0</v>
      </c>
      <c r="D90" s="190">
        <f>D91</f>
        <v>0</v>
      </c>
    </row>
    <row r="91" spans="1:4" ht="39.75" hidden="1" customHeight="1" x14ac:dyDescent="0.25">
      <c r="A91" s="249" t="s">
        <v>868</v>
      </c>
      <c r="B91" s="140" t="s">
        <v>869</v>
      </c>
      <c r="C91" s="191">
        <v>0</v>
      </c>
      <c r="D91" s="191">
        <v>0</v>
      </c>
    </row>
    <row r="92" spans="1:4" s="210" customFormat="1" ht="19.5" customHeight="1" x14ac:dyDescent="0.25">
      <c r="A92" s="275" t="s">
        <v>1367</v>
      </c>
      <c r="B92" s="278" t="s">
        <v>1370</v>
      </c>
      <c r="C92" s="190">
        <f>C93</f>
        <v>2202.4</v>
      </c>
      <c r="D92" s="190">
        <f>D93</f>
        <v>0</v>
      </c>
    </row>
    <row r="93" spans="1:4" s="210" customFormat="1" ht="87.75" customHeight="1" x14ac:dyDescent="0.25">
      <c r="A93" s="276" t="s">
        <v>1365</v>
      </c>
      <c r="B93" s="261" t="s">
        <v>1466</v>
      </c>
      <c r="C93" s="191">
        <v>2202.4</v>
      </c>
      <c r="D93" s="191">
        <v>0</v>
      </c>
    </row>
    <row r="94" spans="1:4" ht="31.5" x14ac:dyDescent="0.25">
      <c r="A94" s="248" t="s">
        <v>1323</v>
      </c>
      <c r="B94" s="139" t="s">
        <v>1324</v>
      </c>
      <c r="C94" s="190">
        <f t="shared" ref="C94:D98" si="19">SUM(C95)</f>
        <v>3026.4</v>
      </c>
      <c r="D94" s="190">
        <f t="shared" si="19"/>
        <v>0</v>
      </c>
    </row>
    <row r="95" spans="1:4" ht="129.19999999999999" customHeight="1" x14ac:dyDescent="0.25">
      <c r="A95" s="304" t="s">
        <v>1463</v>
      </c>
      <c r="B95" s="145" t="s">
        <v>1464</v>
      </c>
      <c r="C95" s="191">
        <v>3026.4</v>
      </c>
      <c r="D95" s="191">
        <v>0</v>
      </c>
    </row>
    <row r="96" spans="1:4" s="345" customFormat="1" ht="42" customHeight="1" x14ac:dyDescent="0.25">
      <c r="A96" s="302" t="s">
        <v>1323</v>
      </c>
      <c r="B96" s="139" t="s">
        <v>1324</v>
      </c>
      <c r="C96" s="191">
        <f>C97</f>
        <v>21435</v>
      </c>
      <c r="D96" s="191">
        <f>D97</f>
        <v>0</v>
      </c>
    </row>
    <row r="97" spans="1:4" s="345" customFormat="1" ht="33" customHeight="1" x14ac:dyDescent="0.25">
      <c r="A97" s="352" t="s">
        <v>851</v>
      </c>
      <c r="B97" s="245" t="s">
        <v>1325</v>
      </c>
      <c r="C97" s="343">
        <v>21435</v>
      </c>
      <c r="D97" s="191">
        <v>0</v>
      </c>
    </row>
    <row r="98" spans="1:4" ht="18.75" x14ac:dyDescent="0.25">
      <c r="A98" s="248" t="s">
        <v>1327</v>
      </c>
      <c r="B98" s="139" t="s">
        <v>1326</v>
      </c>
      <c r="C98" s="190">
        <f t="shared" si="19"/>
        <v>12139.5</v>
      </c>
      <c r="D98" s="190">
        <f t="shared" si="19"/>
        <v>7026.6999999999989</v>
      </c>
    </row>
    <row r="99" spans="1:4" ht="18.75" x14ac:dyDescent="0.25">
      <c r="A99" s="209" t="s">
        <v>850</v>
      </c>
      <c r="B99" s="145" t="s">
        <v>106</v>
      </c>
      <c r="C99" s="283">
        <f>C101+C102+C103+C104+C105+C108+C109+C110+C111+C112</f>
        <v>12139.5</v>
      </c>
      <c r="D99" s="283">
        <f>D101+D102+D103+D104+D105+D108+D109+D110+D111+D112</f>
        <v>7026.6999999999989</v>
      </c>
    </row>
    <row r="100" spans="1:4" ht="157.5" hidden="1" x14ac:dyDescent="0.25">
      <c r="A100" s="426"/>
      <c r="B100" s="145" t="s">
        <v>837</v>
      </c>
      <c r="C100" s="191">
        <v>0</v>
      </c>
      <c r="D100" s="191">
        <v>0</v>
      </c>
    </row>
    <row r="101" spans="1:4" ht="63" customHeight="1" x14ac:dyDescent="0.25">
      <c r="A101" s="427"/>
      <c r="B101" s="140" t="s">
        <v>838</v>
      </c>
      <c r="C101" s="191">
        <v>65.2</v>
      </c>
      <c r="D101" s="191">
        <v>65.2</v>
      </c>
    </row>
    <row r="102" spans="1:4" s="210" customFormat="1" ht="129.19999999999999" customHeight="1" x14ac:dyDescent="0.25">
      <c r="A102" s="427"/>
      <c r="B102" s="151" t="s">
        <v>1371</v>
      </c>
      <c r="C102" s="280">
        <v>1666.6</v>
      </c>
      <c r="D102" s="280">
        <f>C102</f>
        <v>1666.6</v>
      </c>
    </row>
    <row r="103" spans="1:4" s="210" customFormat="1" ht="143.44999999999999" customHeight="1" x14ac:dyDescent="0.25">
      <c r="A103" s="427"/>
      <c r="B103" s="273" t="s">
        <v>1372</v>
      </c>
      <c r="C103" s="280">
        <v>500</v>
      </c>
      <c r="D103" s="280">
        <f>500-121.3</f>
        <v>378.7</v>
      </c>
    </row>
    <row r="104" spans="1:4" ht="94.5" x14ac:dyDescent="0.25">
      <c r="A104" s="427"/>
      <c r="B104" s="150" t="s">
        <v>723</v>
      </c>
      <c r="C104" s="284">
        <v>2220.9</v>
      </c>
      <c r="D104" s="284">
        <v>2220.9</v>
      </c>
    </row>
    <row r="105" spans="1:4" ht="67.7" customHeight="1" x14ac:dyDescent="0.25">
      <c r="A105" s="427"/>
      <c r="B105" s="151" t="s">
        <v>839</v>
      </c>
      <c r="C105" s="285">
        <f t="shared" ref="C105:D105" si="20">SUM(C106:C107)</f>
        <v>25</v>
      </c>
      <c r="D105" s="285">
        <f t="shared" si="20"/>
        <v>25</v>
      </c>
    </row>
    <row r="106" spans="1:4" ht="116.45" customHeight="1" x14ac:dyDescent="0.25">
      <c r="A106" s="427"/>
      <c r="B106" s="258" t="s">
        <v>836</v>
      </c>
      <c r="C106" s="286">
        <v>0</v>
      </c>
      <c r="D106" s="286">
        <v>0</v>
      </c>
    </row>
    <row r="107" spans="1:4" ht="110.25" x14ac:dyDescent="0.25">
      <c r="A107" s="427"/>
      <c r="B107" s="168" t="s">
        <v>870</v>
      </c>
      <c r="C107" s="287">
        <v>25</v>
      </c>
      <c r="D107" s="287">
        <v>25</v>
      </c>
    </row>
    <row r="108" spans="1:4" ht="94.5" x14ac:dyDescent="0.25">
      <c r="A108" s="427"/>
      <c r="B108" s="140" t="s">
        <v>108</v>
      </c>
      <c r="C108" s="191">
        <v>1743.4</v>
      </c>
      <c r="D108" s="191">
        <v>1751.9</v>
      </c>
    </row>
    <row r="109" spans="1:4" ht="87.75" customHeight="1" x14ac:dyDescent="0.25">
      <c r="A109" s="427"/>
      <c r="B109" s="140" t="s">
        <v>840</v>
      </c>
      <c r="C109" s="191">
        <v>255</v>
      </c>
      <c r="D109" s="191">
        <v>255</v>
      </c>
    </row>
    <row r="110" spans="1:4" ht="94.5" x14ac:dyDescent="0.25">
      <c r="A110" s="427"/>
      <c r="B110" s="140" t="s">
        <v>841</v>
      </c>
      <c r="C110" s="191">
        <f>488.7+8</f>
        <v>496.7</v>
      </c>
      <c r="D110" s="191">
        <f>488.7+8</f>
        <v>496.7</v>
      </c>
    </row>
    <row r="111" spans="1:4" s="210" customFormat="1" ht="95.25" customHeight="1" x14ac:dyDescent="0.25">
      <c r="A111" s="427"/>
      <c r="B111" s="261" t="s">
        <v>1387</v>
      </c>
      <c r="C111" s="288">
        <v>5000</v>
      </c>
      <c r="D111" s="191">
        <v>0</v>
      </c>
    </row>
    <row r="112" spans="1:4" ht="157.5" x14ac:dyDescent="0.25">
      <c r="A112" s="428"/>
      <c r="B112" s="199" t="s">
        <v>828</v>
      </c>
      <c r="C112" s="283">
        <v>166.7</v>
      </c>
      <c r="D112" s="283">
        <v>166.7</v>
      </c>
    </row>
    <row r="113" spans="1:4" ht="24.75" customHeight="1" x14ac:dyDescent="0.25">
      <c r="A113" s="138" t="s">
        <v>849</v>
      </c>
      <c r="B113" s="243" t="s">
        <v>109</v>
      </c>
      <c r="C113" s="190">
        <f>C136+C114+C134</f>
        <v>253104.49999999994</v>
      </c>
      <c r="D113" s="190">
        <f>D136+D114+D134</f>
        <v>260563.19999999995</v>
      </c>
    </row>
    <row r="114" spans="1:4" ht="31.5" x14ac:dyDescent="0.25">
      <c r="A114" s="138" t="s">
        <v>848</v>
      </c>
      <c r="B114" s="147" t="s">
        <v>110</v>
      </c>
      <c r="C114" s="190">
        <f t="shared" ref="C114:D114" si="21">C115</f>
        <v>252530.79999999996</v>
      </c>
      <c r="D114" s="190">
        <f t="shared" si="21"/>
        <v>259922.79999999996</v>
      </c>
    </row>
    <row r="115" spans="1:4" ht="31.5" x14ac:dyDescent="0.25">
      <c r="A115" s="209" t="s">
        <v>847</v>
      </c>
      <c r="B115" s="140" t="s">
        <v>111</v>
      </c>
      <c r="C115" s="191">
        <f>SUM(C116+C117+C118+C119+C120+C121+C122+C125+C126+C127+C128+C130+C131+C132+C133)</f>
        <v>252530.79999999996</v>
      </c>
      <c r="D115" s="191">
        <f>SUM(D116+D117+D118+D119+D120+D121+D122+D125+D126+D127+D128+D130+D131+D132+D133)</f>
        <v>259922.79999999996</v>
      </c>
    </row>
    <row r="116" spans="1:4" ht="110.25" x14ac:dyDescent="0.25">
      <c r="A116" s="426"/>
      <c r="B116" s="150" t="s">
        <v>724</v>
      </c>
      <c r="C116" s="353">
        <v>143160</v>
      </c>
      <c r="D116" s="353">
        <v>143160</v>
      </c>
    </row>
    <row r="117" spans="1:4" ht="82.5" customHeight="1" x14ac:dyDescent="0.25">
      <c r="A117" s="427"/>
      <c r="B117" s="140" t="s">
        <v>112</v>
      </c>
      <c r="C117" s="285">
        <f>пр.1дох.20!C143</f>
        <v>80735.399999999994</v>
      </c>
      <c r="D117" s="285">
        <f t="shared" ref="D117:D128" si="22">C117</f>
        <v>80735.399999999994</v>
      </c>
    </row>
    <row r="118" spans="1:4" ht="112.7" customHeight="1" x14ac:dyDescent="0.25">
      <c r="A118" s="427"/>
      <c r="B118" s="140" t="s">
        <v>715</v>
      </c>
      <c r="C118" s="285">
        <f>пр.1дох.20!C144</f>
        <v>4743.8999999999996</v>
      </c>
      <c r="D118" s="285">
        <f t="shared" si="22"/>
        <v>4743.8999999999996</v>
      </c>
    </row>
    <row r="119" spans="1:4" ht="110.25" x14ac:dyDescent="0.25">
      <c r="A119" s="427"/>
      <c r="B119" s="140" t="s">
        <v>716</v>
      </c>
      <c r="C119" s="285">
        <f>пр.1дох.20!C145</f>
        <v>2075.4</v>
      </c>
      <c r="D119" s="285">
        <f t="shared" si="22"/>
        <v>2075.4</v>
      </c>
    </row>
    <row r="120" spans="1:4" ht="110.25" x14ac:dyDescent="0.25">
      <c r="A120" s="427"/>
      <c r="B120" s="140" t="s">
        <v>113</v>
      </c>
      <c r="C120" s="285">
        <f>пр.1дох.20!C146</f>
        <v>1433.3</v>
      </c>
      <c r="D120" s="285">
        <f t="shared" si="22"/>
        <v>1433.3</v>
      </c>
    </row>
    <row r="121" spans="1:4" ht="110.25" x14ac:dyDescent="0.25">
      <c r="A121" s="427"/>
      <c r="B121" s="140" t="s">
        <v>114</v>
      </c>
      <c r="C121" s="285">
        <v>288.8</v>
      </c>
      <c r="D121" s="285">
        <f t="shared" si="22"/>
        <v>288.8</v>
      </c>
    </row>
    <row r="122" spans="1:4" ht="47.25" x14ac:dyDescent="0.25">
      <c r="A122" s="427"/>
      <c r="B122" s="140" t="s">
        <v>115</v>
      </c>
      <c r="C122" s="285">
        <f>пр.1дох.20!C148</f>
        <v>3621.3999999999996</v>
      </c>
      <c r="D122" s="285">
        <f t="shared" si="22"/>
        <v>3621.3999999999996</v>
      </c>
    </row>
    <row r="123" spans="1:4" ht="31.5" x14ac:dyDescent="0.25">
      <c r="A123" s="427"/>
      <c r="B123" s="153" t="s">
        <v>717</v>
      </c>
      <c r="C123" s="285">
        <f>пр.1дох.20!C149</f>
        <v>2829.1</v>
      </c>
      <c r="D123" s="285">
        <f t="shared" si="22"/>
        <v>2829.1</v>
      </c>
    </row>
    <row r="124" spans="1:4" ht="31.5" x14ac:dyDescent="0.25">
      <c r="A124" s="427"/>
      <c r="B124" s="153" t="s">
        <v>718</v>
      </c>
      <c r="C124" s="285">
        <f>пр.1дох.20!C150</f>
        <v>792.3</v>
      </c>
      <c r="D124" s="285">
        <f t="shared" si="22"/>
        <v>792.3</v>
      </c>
    </row>
    <row r="125" spans="1:4" ht="126" x14ac:dyDescent="0.25">
      <c r="A125" s="427"/>
      <c r="B125" s="140" t="s">
        <v>842</v>
      </c>
      <c r="C125" s="285">
        <f>пр.1дох.20!C151</f>
        <v>319.7</v>
      </c>
      <c r="D125" s="285">
        <f t="shared" si="22"/>
        <v>319.7</v>
      </c>
    </row>
    <row r="126" spans="1:4" ht="126" x14ac:dyDescent="0.25">
      <c r="A126" s="427"/>
      <c r="B126" s="140" t="s">
        <v>116</v>
      </c>
      <c r="C126" s="285">
        <f>пр.1дох.20!C152</f>
        <v>923.4</v>
      </c>
      <c r="D126" s="285">
        <f t="shared" si="22"/>
        <v>923.4</v>
      </c>
    </row>
    <row r="127" spans="1:4" ht="47.25" x14ac:dyDescent="0.25">
      <c r="A127" s="427"/>
      <c r="B127" s="140" t="s">
        <v>117</v>
      </c>
      <c r="C127" s="285">
        <f>пр.1дох.20!C153</f>
        <v>1115.9000000000001</v>
      </c>
      <c r="D127" s="285">
        <f t="shared" si="22"/>
        <v>1115.9000000000001</v>
      </c>
    </row>
    <row r="128" spans="1:4" ht="157.5" x14ac:dyDescent="0.25">
      <c r="A128" s="427"/>
      <c r="B128" s="323" t="s">
        <v>1381</v>
      </c>
      <c r="C128" s="285">
        <v>22</v>
      </c>
      <c r="D128" s="285">
        <f t="shared" si="22"/>
        <v>22</v>
      </c>
    </row>
    <row r="129" spans="1:4" s="210" customFormat="1" ht="115.5" hidden="1" customHeight="1" x14ac:dyDescent="0.25">
      <c r="A129" s="427"/>
      <c r="B129" s="272" t="s">
        <v>1386</v>
      </c>
      <c r="C129" s="285"/>
      <c r="D129" s="285"/>
    </row>
    <row r="130" spans="1:4" s="210" customFormat="1" ht="48.2" customHeight="1" x14ac:dyDescent="0.25">
      <c r="A130" s="428"/>
      <c r="B130" s="140" t="s">
        <v>1301</v>
      </c>
      <c r="C130" s="285">
        <f>пр.1дох.20!C156</f>
        <v>1914.5</v>
      </c>
      <c r="D130" s="285">
        <f>1914.5+7392</f>
        <v>9306.5</v>
      </c>
    </row>
    <row r="131" spans="1:4" s="309" customFormat="1" ht="120.75" customHeight="1" x14ac:dyDescent="0.25">
      <c r="A131" s="327"/>
      <c r="B131" s="154" t="s">
        <v>1489</v>
      </c>
      <c r="C131" s="285">
        <v>9263</v>
      </c>
      <c r="D131" s="285">
        <f>C131</f>
        <v>9263</v>
      </c>
    </row>
    <row r="132" spans="1:4" s="309" customFormat="1" ht="129.19999999999999" customHeight="1" x14ac:dyDescent="0.25">
      <c r="A132" s="327"/>
      <c r="B132" s="154" t="s">
        <v>1490</v>
      </c>
      <c r="C132" s="285">
        <v>2100.6</v>
      </c>
      <c r="D132" s="285">
        <f t="shared" ref="D132:D133" si="23">C132</f>
        <v>2100.6</v>
      </c>
    </row>
    <row r="133" spans="1:4" s="309" customFormat="1" ht="132" customHeight="1" x14ac:dyDescent="0.25">
      <c r="A133" s="327"/>
      <c r="B133" s="154" t="s">
        <v>1491</v>
      </c>
      <c r="C133" s="285">
        <v>813.5</v>
      </c>
      <c r="D133" s="285">
        <f t="shared" si="23"/>
        <v>813.5</v>
      </c>
    </row>
    <row r="134" spans="1:4" s="210" customFormat="1" ht="63" x14ac:dyDescent="0.25">
      <c r="A134" s="138" t="s">
        <v>1388</v>
      </c>
      <c r="B134" s="216" t="s">
        <v>1390</v>
      </c>
      <c r="C134" s="289">
        <f>C135</f>
        <v>6.3</v>
      </c>
      <c r="D134" s="289">
        <f>D135</f>
        <v>51</v>
      </c>
    </row>
    <row r="135" spans="1:4" s="210" customFormat="1" ht="63" x14ac:dyDescent="0.25">
      <c r="A135" s="209" t="s">
        <v>1389</v>
      </c>
      <c r="B135" s="99" t="s">
        <v>1390</v>
      </c>
      <c r="C135" s="285">
        <v>6.3</v>
      </c>
      <c r="D135" s="285">
        <v>51</v>
      </c>
    </row>
    <row r="136" spans="1:4" ht="31.5" x14ac:dyDescent="0.25">
      <c r="A136" s="138" t="s">
        <v>846</v>
      </c>
      <c r="B136" s="147" t="s">
        <v>118</v>
      </c>
      <c r="C136" s="190">
        <f t="shared" ref="C136:D136" si="24">C137</f>
        <v>567.4</v>
      </c>
      <c r="D136" s="190">
        <f t="shared" si="24"/>
        <v>589.4</v>
      </c>
    </row>
    <row r="137" spans="1:4" ht="31.5" x14ac:dyDescent="0.25">
      <c r="A137" s="209" t="s">
        <v>845</v>
      </c>
      <c r="B137" s="140" t="s">
        <v>119</v>
      </c>
      <c r="C137" s="191">
        <v>567.4</v>
      </c>
      <c r="D137" s="191">
        <v>589.4</v>
      </c>
    </row>
    <row r="138" spans="1:4" ht="18.75" x14ac:dyDescent="0.25">
      <c r="A138" s="138" t="s">
        <v>844</v>
      </c>
      <c r="B138" s="147" t="s">
        <v>120</v>
      </c>
      <c r="C138" s="190">
        <f>SUM(C140)</f>
        <v>2636.6</v>
      </c>
      <c r="D138" s="190">
        <f>SUM(D140)</f>
        <v>2636.6</v>
      </c>
    </row>
    <row r="139" spans="1:4" ht="18.75" x14ac:dyDescent="0.25">
      <c r="A139" s="138" t="s">
        <v>843</v>
      </c>
      <c r="B139" s="147" t="s">
        <v>121</v>
      </c>
      <c r="C139" s="190">
        <f t="shared" ref="C139:D139" si="25">C140</f>
        <v>2636.6</v>
      </c>
      <c r="D139" s="190">
        <f t="shared" si="25"/>
        <v>2636.6</v>
      </c>
    </row>
    <row r="140" spans="1:4" s="210" customFormat="1" ht="31.5" x14ac:dyDescent="0.25">
      <c r="A140" s="209" t="s">
        <v>855</v>
      </c>
      <c r="B140" s="140" t="s">
        <v>1328</v>
      </c>
      <c r="C140" s="191">
        <f>SUM(C141:C144)</f>
        <v>2636.6</v>
      </c>
      <c r="D140" s="191">
        <f>SUM(D141:D144)</f>
        <v>2636.6</v>
      </c>
    </row>
    <row r="141" spans="1:4" ht="126" hidden="1" x14ac:dyDescent="0.25">
      <c r="A141" s="426"/>
      <c r="B141" s="154" t="s">
        <v>809</v>
      </c>
      <c r="C141" s="192">
        <v>0</v>
      </c>
      <c r="D141" s="192">
        <f>C141</f>
        <v>0</v>
      </c>
    </row>
    <row r="142" spans="1:4" ht="141.75" hidden="1" x14ac:dyDescent="0.25">
      <c r="A142" s="427"/>
      <c r="B142" s="154" t="s">
        <v>810</v>
      </c>
      <c r="C142" s="192">
        <v>0</v>
      </c>
      <c r="D142" s="192">
        <f t="shared" ref="D142:D143" si="26">C142</f>
        <v>0</v>
      </c>
    </row>
    <row r="143" spans="1:4" ht="126" hidden="1" x14ac:dyDescent="0.25">
      <c r="A143" s="428"/>
      <c r="B143" s="154" t="s">
        <v>873</v>
      </c>
      <c r="C143" s="192">
        <v>0</v>
      </c>
      <c r="D143" s="192">
        <f t="shared" si="26"/>
        <v>0</v>
      </c>
    </row>
    <row r="144" spans="1:4" s="309" customFormat="1" ht="78.75" x14ac:dyDescent="0.25">
      <c r="A144" s="332" t="s">
        <v>1518</v>
      </c>
      <c r="B144" s="333" t="s">
        <v>1520</v>
      </c>
      <c r="C144" s="192">
        <v>2636.6</v>
      </c>
      <c r="D144" s="192">
        <v>2636.6</v>
      </c>
    </row>
    <row r="145" spans="1:4" ht="18.75" hidden="1" x14ac:dyDescent="0.25">
      <c r="A145" s="19" t="s">
        <v>805</v>
      </c>
      <c r="B145" s="200" t="s">
        <v>806</v>
      </c>
      <c r="C145" s="201">
        <f>SUM(C146)</f>
        <v>0</v>
      </c>
      <c r="D145" s="201">
        <f>SUM(D146)</f>
        <v>0</v>
      </c>
    </row>
    <row r="146" spans="1:4" ht="31.5" hidden="1" x14ac:dyDescent="0.25">
      <c r="A146" s="19" t="s">
        <v>807</v>
      </c>
      <c r="B146" s="200" t="s">
        <v>808</v>
      </c>
      <c r="C146" s="201">
        <f>SUM(C147)</f>
        <v>0</v>
      </c>
      <c r="D146" s="201">
        <f>SUM(D147)</f>
        <v>0</v>
      </c>
    </row>
    <row r="147" spans="1:4" ht="18.75" hidden="1" x14ac:dyDescent="0.25">
      <c r="A147" s="424" t="s">
        <v>878</v>
      </c>
      <c r="B147" s="204" t="s">
        <v>808</v>
      </c>
      <c r="C147" s="201">
        <f>SUM(C149:C150)</f>
        <v>0</v>
      </c>
      <c r="D147" s="201">
        <f>SUM(D149:D150)</f>
        <v>0</v>
      </c>
    </row>
    <row r="148" spans="1:4" ht="18.75" hidden="1" x14ac:dyDescent="0.25">
      <c r="A148" s="425"/>
      <c r="B148" s="204" t="s">
        <v>107</v>
      </c>
      <c r="C148" s="201"/>
      <c r="D148" s="201"/>
    </row>
    <row r="149" spans="1:4" ht="94.5" hidden="1" x14ac:dyDescent="0.25">
      <c r="A149" s="425"/>
      <c r="B149" s="202" t="s">
        <v>875</v>
      </c>
      <c r="C149" s="192">
        <v>0</v>
      </c>
      <c r="D149" s="192">
        <v>0</v>
      </c>
    </row>
    <row r="150" spans="1:4" ht="78.75" hidden="1" x14ac:dyDescent="0.25">
      <c r="A150" s="431"/>
      <c r="B150" s="202" t="s">
        <v>876</v>
      </c>
      <c r="C150" s="192">
        <v>0</v>
      </c>
      <c r="D150" s="192">
        <v>0</v>
      </c>
    </row>
    <row r="151" spans="1:4" ht="18.75" x14ac:dyDescent="0.25">
      <c r="A151" s="209"/>
      <c r="B151" s="196" t="s">
        <v>122</v>
      </c>
      <c r="C151" s="190">
        <f>SUM(C10+C74)</f>
        <v>753520.63199999998</v>
      </c>
      <c r="D151" s="190">
        <f>SUM(D10+D74)</f>
        <v>735832.82</v>
      </c>
    </row>
    <row r="154" spans="1:4" x14ac:dyDescent="0.25">
      <c r="C154" s="116"/>
      <c r="D154" s="116"/>
    </row>
  </sheetData>
  <mergeCells count="10">
    <mergeCell ref="C3:D3"/>
    <mergeCell ref="C2:D2"/>
    <mergeCell ref="C1:D1"/>
    <mergeCell ref="A147:A150"/>
    <mergeCell ref="A5:D5"/>
    <mergeCell ref="A6:D6"/>
    <mergeCell ref="A7:D7"/>
    <mergeCell ref="A100:A112"/>
    <mergeCell ref="A116:A130"/>
    <mergeCell ref="A141:A143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16" zoomScaleNormal="100" zoomScaleSheetLayoutView="100" workbookViewId="0">
      <selection activeCell="A5" sqref="A5:F5"/>
    </sheetView>
  </sheetViews>
  <sheetFormatPr defaultRowHeight="15" x14ac:dyDescent="0.25"/>
  <cols>
    <col min="1" max="1" width="67.140625" customWidth="1"/>
    <col min="2" max="2" width="4.5703125" customWidth="1"/>
    <col min="3" max="3" width="6.140625" customWidth="1"/>
    <col min="4" max="4" width="12.140625" customWidth="1"/>
    <col min="5" max="5" width="13" style="345" customWidth="1"/>
    <col min="6" max="6" width="14.42578125" style="345" customWidth="1"/>
  </cols>
  <sheetData>
    <row r="1" spans="1:6" ht="15.75" x14ac:dyDescent="0.25">
      <c r="A1" s="11"/>
      <c r="C1" s="131"/>
      <c r="D1" s="131"/>
      <c r="E1" s="435" t="s">
        <v>1618</v>
      </c>
      <c r="F1" s="435"/>
    </row>
    <row r="2" spans="1:6" ht="15.75" x14ac:dyDescent="0.25">
      <c r="A2" s="11"/>
      <c r="C2" s="131"/>
      <c r="D2" s="131"/>
      <c r="E2" s="435" t="s">
        <v>0</v>
      </c>
      <c r="F2" s="435"/>
    </row>
    <row r="3" spans="1:6" ht="18.75" customHeight="1" x14ac:dyDescent="0.25">
      <c r="A3" s="11"/>
      <c r="C3" s="131"/>
      <c r="D3" s="131"/>
      <c r="E3" s="435" t="s">
        <v>1674</v>
      </c>
      <c r="F3" s="435"/>
    </row>
    <row r="4" spans="1:6" s="309" customFormat="1" ht="12.2" customHeight="1" x14ac:dyDescent="0.3">
      <c r="A4" s="11"/>
      <c r="B4" s="155"/>
      <c r="C4" s="11"/>
      <c r="D4" s="130"/>
      <c r="E4" s="130"/>
      <c r="F4" s="130"/>
    </row>
    <row r="5" spans="1:6" ht="15.75" x14ac:dyDescent="0.25">
      <c r="A5" s="432" t="s">
        <v>1613</v>
      </c>
      <c r="B5" s="432"/>
      <c r="C5" s="432"/>
      <c r="D5" s="432"/>
      <c r="E5" s="432"/>
      <c r="F5" s="432"/>
    </row>
    <row r="6" spans="1:6" ht="15.75" x14ac:dyDescent="0.25">
      <c r="A6" s="432" t="s">
        <v>1342</v>
      </c>
      <c r="B6" s="432"/>
      <c r="C6" s="432"/>
      <c r="D6" s="432"/>
      <c r="E6" s="432"/>
      <c r="F6" s="432"/>
    </row>
    <row r="7" spans="1:6" ht="15.75" x14ac:dyDescent="0.25">
      <c r="A7" s="432" t="s">
        <v>1614</v>
      </c>
      <c r="B7" s="432"/>
      <c r="C7" s="432"/>
      <c r="D7" s="432"/>
      <c r="E7" s="432"/>
      <c r="F7" s="432"/>
    </row>
    <row r="8" spans="1:6" x14ac:dyDescent="0.25">
      <c r="B8" s="90"/>
      <c r="C8" s="90"/>
      <c r="D8" s="194"/>
      <c r="E8" s="194"/>
      <c r="F8" s="194"/>
    </row>
    <row r="9" spans="1:6" ht="66.2" customHeight="1" x14ac:dyDescent="0.25">
      <c r="A9" s="91" t="s">
        <v>690</v>
      </c>
      <c r="B9" s="91" t="s">
        <v>691</v>
      </c>
      <c r="C9" s="91" t="s">
        <v>692</v>
      </c>
      <c r="D9" s="183" t="s">
        <v>1606</v>
      </c>
      <c r="E9" s="232" t="s">
        <v>1607</v>
      </c>
      <c r="F9" s="232" t="s">
        <v>1608</v>
      </c>
    </row>
    <row r="10" spans="1:6" ht="15.75" x14ac:dyDescent="0.25">
      <c r="A10" s="47" t="s">
        <v>132</v>
      </c>
      <c r="B10" s="24" t="s">
        <v>133</v>
      </c>
      <c r="C10" s="92"/>
      <c r="D10" s="93">
        <f>SUM(D11:D16)</f>
        <v>146629.49855000002</v>
      </c>
      <c r="E10" s="93">
        <f t="shared" ref="E10" si="0">SUM(E11:E16)</f>
        <v>144317.08355999997</v>
      </c>
      <c r="F10" s="93">
        <f>E10/D10*100</f>
        <v>98.422953762464431</v>
      </c>
    </row>
    <row r="11" spans="1:6" ht="31.5" x14ac:dyDescent="0.25">
      <c r="A11" s="31" t="s">
        <v>590</v>
      </c>
      <c r="B11" s="20" t="s">
        <v>133</v>
      </c>
      <c r="C11" s="20" t="s">
        <v>228</v>
      </c>
      <c r="D11" s="27">
        <f>'Пр.3 Рд,пр, ЦС,ВР 20'!F9</f>
        <v>4864.3739000000005</v>
      </c>
      <c r="E11" s="339">
        <f>'Пр.3 Рд,пр, ЦС,ВР 20'!G9</f>
        <v>4856.6630000000005</v>
      </c>
      <c r="F11" s="236">
        <f t="shared" ref="F11:F50" si="1">E11/D11*100</f>
        <v>99.841482168959089</v>
      </c>
    </row>
    <row r="12" spans="1:6" ht="47.25" x14ac:dyDescent="0.25">
      <c r="A12" s="31" t="s">
        <v>593</v>
      </c>
      <c r="B12" s="20" t="s">
        <v>133</v>
      </c>
      <c r="C12" s="20" t="s">
        <v>230</v>
      </c>
      <c r="D12" s="27">
        <f>'Пр.3 Рд,пр, ЦС,ВР 20'!F31</f>
        <v>1278.896</v>
      </c>
      <c r="E12" s="339">
        <f>'Пр.3 Рд,пр, ЦС,ВР 20'!G31</f>
        <v>1278.1580000000001</v>
      </c>
      <c r="F12" s="236">
        <f t="shared" si="1"/>
        <v>99.942293978556521</v>
      </c>
    </row>
    <row r="13" spans="1:6" ht="47.25" x14ac:dyDescent="0.25">
      <c r="A13" s="25" t="s">
        <v>164</v>
      </c>
      <c r="B13" s="20" t="s">
        <v>133</v>
      </c>
      <c r="C13" s="20" t="s">
        <v>165</v>
      </c>
      <c r="D13" s="27">
        <f>'Пр.3 Рд,пр, ЦС,ВР 20'!F42</f>
        <v>71211.148200000011</v>
      </c>
      <c r="E13" s="339">
        <f>'Пр.3 Рд,пр, ЦС,ВР 20'!G42</f>
        <v>69702.362429999994</v>
      </c>
      <c r="F13" s="236">
        <f t="shared" si="1"/>
        <v>97.881250607331154</v>
      </c>
    </row>
    <row r="14" spans="1:6" ht="47.25" x14ac:dyDescent="0.25">
      <c r="A14" s="25" t="s">
        <v>134</v>
      </c>
      <c r="B14" s="20" t="s">
        <v>133</v>
      </c>
      <c r="C14" s="20" t="s">
        <v>135</v>
      </c>
      <c r="D14" s="27">
        <f>'Пр.3 Рд,пр, ЦС,ВР 20'!F114</f>
        <v>15821.580449999999</v>
      </c>
      <c r="E14" s="339">
        <f>'Пр.3 Рд,пр, ЦС,ВР 20'!G114</f>
        <v>15713.029029999998</v>
      </c>
      <c r="F14" s="236">
        <f t="shared" si="1"/>
        <v>99.313902802927629</v>
      </c>
    </row>
    <row r="15" spans="1:6" s="210" customFormat="1" ht="15.75" x14ac:dyDescent="0.25">
      <c r="A15" s="25" t="s">
        <v>1361</v>
      </c>
      <c r="B15" s="20" t="s">
        <v>133</v>
      </c>
      <c r="C15" s="20" t="s">
        <v>279</v>
      </c>
      <c r="D15" s="27">
        <f>'Пр.3 Рд,пр, ЦС,ВР 20'!F142</f>
        <v>1001.5</v>
      </c>
      <c r="E15" s="339">
        <f>'Пр.3 Рд,пр, ЦС,ВР 20'!G142</f>
        <v>1000.046</v>
      </c>
      <c r="F15" s="236">
        <f t="shared" si="1"/>
        <v>99.854817773340002</v>
      </c>
    </row>
    <row r="16" spans="1:6" ht="15.75" x14ac:dyDescent="0.25">
      <c r="A16" s="94" t="s">
        <v>154</v>
      </c>
      <c r="B16" s="20" t="s">
        <v>133</v>
      </c>
      <c r="C16" s="20" t="s">
        <v>155</v>
      </c>
      <c r="D16" s="27">
        <f>'Пр.3 Рд,пр, ЦС,ВР 20'!F153</f>
        <v>52452.000000000007</v>
      </c>
      <c r="E16" s="339">
        <f>'Пр.3 Рд,пр, ЦС,ВР 20'!G153</f>
        <v>51766.825099999995</v>
      </c>
      <c r="F16" s="236">
        <f t="shared" si="1"/>
        <v>98.693710630671831</v>
      </c>
    </row>
    <row r="17" spans="1:6" ht="15.75" hidden="1" x14ac:dyDescent="0.25">
      <c r="A17" s="19" t="s">
        <v>227</v>
      </c>
      <c r="B17" s="24" t="s">
        <v>228</v>
      </c>
      <c r="C17" s="20"/>
      <c r="D17" s="44">
        <f t="shared" ref="D17:E17" si="2">D18</f>
        <v>0</v>
      </c>
      <c r="E17" s="44">
        <f t="shared" si="2"/>
        <v>0</v>
      </c>
      <c r="F17" s="236" t="e">
        <f t="shared" si="1"/>
        <v>#DIV/0!</v>
      </c>
    </row>
    <row r="18" spans="1:6" ht="15.75" hidden="1" x14ac:dyDescent="0.25">
      <c r="A18" s="25" t="s">
        <v>233</v>
      </c>
      <c r="B18" s="20" t="s">
        <v>228</v>
      </c>
      <c r="C18" s="20" t="s">
        <v>234</v>
      </c>
      <c r="D18" s="27"/>
      <c r="E18" s="339"/>
      <c r="F18" s="236" t="e">
        <f t="shared" si="1"/>
        <v>#DIV/0!</v>
      </c>
    </row>
    <row r="19" spans="1:6" ht="29.25" customHeight="1" x14ac:dyDescent="0.25">
      <c r="A19" s="34" t="s">
        <v>237</v>
      </c>
      <c r="B19" s="24" t="s">
        <v>230</v>
      </c>
      <c r="C19" s="24"/>
      <c r="D19" s="44">
        <f t="shared" ref="D19:E19" si="3">D20</f>
        <v>6339</v>
      </c>
      <c r="E19" s="44">
        <f t="shared" si="3"/>
        <v>6336.6932300000008</v>
      </c>
      <c r="F19" s="93">
        <f t="shared" si="1"/>
        <v>99.963609875374686</v>
      </c>
    </row>
    <row r="20" spans="1:6" ht="31.5" x14ac:dyDescent="0.25">
      <c r="A20" s="31" t="s">
        <v>238</v>
      </c>
      <c r="B20" s="20" t="s">
        <v>230</v>
      </c>
      <c r="C20" s="20" t="s">
        <v>234</v>
      </c>
      <c r="D20" s="27">
        <f>'Пр.3 Рд,пр, ЦС,ВР 20'!F251</f>
        <v>6339</v>
      </c>
      <c r="E20" s="339">
        <f>'Пр.3 Рд,пр, ЦС,ВР 20'!G251</f>
        <v>6336.6932300000008</v>
      </c>
      <c r="F20" s="236">
        <f t="shared" si="1"/>
        <v>99.963609875374686</v>
      </c>
    </row>
    <row r="21" spans="1:6" ht="15.75" x14ac:dyDescent="0.25">
      <c r="A21" s="47" t="s">
        <v>247</v>
      </c>
      <c r="B21" s="24" t="s">
        <v>165</v>
      </c>
      <c r="C21" s="24"/>
      <c r="D21" s="44">
        <f t="shared" ref="D21:E21" si="4">D22+D23+D24+D25</f>
        <v>7853.1849999999995</v>
      </c>
      <c r="E21" s="44">
        <f t="shared" si="4"/>
        <v>7774.1941999999999</v>
      </c>
      <c r="F21" s="93">
        <f t="shared" si="1"/>
        <v>98.994155874336343</v>
      </c>
    </row>
    <row r="22" spans="1:6" ht="15.75" x14ac:dyDescent="0.25">
      <c r="A22" s="95" t="s">
        <v>248</v>
      </c>
      <c r="B22" s="20" t="s">
        <v>165</v>
      </c>
      <c r="C22" s="20" t="s">
        <v>249</v>
      </c>
      <c r="D22" s="27">
        <f>'Пр.3 Рд,пр, ЦС,ВР 20'!F270</f>
        <v>91.084999999999994</v>
      </c>
      <c r="E22" s="339">
        <f>'Пр.3 Рд,пр, ЦС,ВР 20'!G270</f>
        <v>91</v>
      </c>
      <c r="F22" s="236">
        <f t="shared" si="1"/>
        <v>99.90668057309108</v>
      </c>
    </row>
    <row r="23" spans="1:6" ht="15.75" x14ac:dyDescent="0.25">
      <c r="A23" s="94" t="s">
        <v>520</v>
      </c>
      <c r="B23" s="20" t="s">
        <v>165</v>
      </c>
      <c r="C23" s="20" t="s">
        <v>314</v>
      </c>
      <c r="D23" s="27">
        <f>'Пр.3 Рд,пр, ЦС,ВР 20'!F283</f>
        <v>3258</v>
      </c>
      <c r="E23" s="339">
        <f>'Пр.3 Рд,пр, ЦС,ВР 20'!G283</f>
        <v>3257.884</v>
      </c>
      <c r="F23" s="236">
        <f t="shared" si="1"/>
        <v>99.996439533456112</v>
      </c>
    </row>
    <row r="24" spans="1:6" ht="15.75" x14ac:dyDescent="0.25">
      <c r="A24" s="94" t="s">
        <v>523</v>
      </c>
      <c r="B24" s="20" t="s">
        <v>165</v>
      </c>
      <c r="C24" s="20" t="s">
        <v>234</v>
      </c>
      <c r="D24" s="27">
        <f>'Пр.3 Рд,пр, ЦС,ВР 20'!F289</f>
        <v>3803.7000000000003</v>
      </c>
      <c r="E24" s="339">
        <f>'Пр.3 Рд,пр, ЦС,ВР 20'!G289</f>
        <v>3730.5</v>
      </c>
      <c r="F24" s="236">
        <f t="shared" si="1"/>
        <v>98.075558009306718</v>
      </c>
    </row>
    <row r="25" spans="1:6" ht="15.75" x14ac:dyDescent="0.25">
      <c r="A25" s="96" t="s">
        <v>252</v>
      </c>
      <c r="B25" s="20" t="s">
        <v>165</v>
      </c>
      <c r="C25" s="20" t="s">
        <v>253</v>
      </c>
      <c r="D25" s="27">
        <f>'Пр.3 Рд,пр, ЦС,ВР 20'!F303</f>
        <v>700.4</v>
      </c>
      <c r="E25" s="339">
        <f>'Пр.3 Рд,пр, ЦС,ВР 20'!G303</f>
        <v>694.81020000000001</v>
      </c>
      <c r="F25" s="236">
        <f t="shared" si="1"/>
        <v>99.201913192461461</v>
      </c>
    </row>
    <row r="26" spans="1:6" ht="15.75" x14ac:dyDescent="0.25">
      <c r="A26" s="47" t="s">
        <v>405</v>
      </c>
      <c r="B26" s="24" t="s">
        <v>249</v>
      </c>
      <c r="C26" s="24"/>
      <c r="D26" s="44">
        <f t="shared" ref="D26:E26" si="5">SUM(D27:D30)</f>
        <v>87032.848199999993</v>
      </c>
      <c r="E26" s="44">
        <f t="shared" si="5"/>
        <v>82814.091369999995</v>
      </c>
      <c r="F26" s="93">
        <f t="shared" si="1"/>
        <v>95.152684397613456</v>
      </c>
    </row>
    <row r="27" spans="1:6" ht="15.75" x14ac:dyDescent="0.25">
      <c r="A27" s="95" t="s">
        <v>406</v>
      </c>
      <c r="B27" s="20" t="s">
        <v>249</v>
      </c>
      <c r="C27" s="20" t="s">
        <v>133</v>
      </c>
      <c r="D27" s="27">
        <f>'Пр.3 Рд,пр, ЦС,ВР 20'!F352</f>
        <v>7906.1299999999992</v>
      </c>
      <c r="E27" s="339">
        <f>'Пр.3 Рд,пр, ЦС,ВР 20'!G352</f>
        <v>7837.1505699999998</v>
      </c>
      <c r="F27" s="236">
        <f t="shared" si="1"/>
        <v>99.127519658796416</v>
      </c>
    </row>
    <row r="28" spans="1:6" ht="15.75" x14ac:dyDescent="0.25">
      <c r="A28" s="95" t="s">
        <v>532</v>
      </c>
      <c r="B28" s="20" t="s">
        <v>249</v>
      </c>
      <c r="C28" s="20" t="s">
        <v>228</v>
      </c>
      <c r="D28" s="27">
        <f>'Пр.3 Рд,пр, ЦС,ВР 20'!F369</f>
        <v>50591.5</v>
      </c>
      <c r="E28" s="339">
        <f>'Пр.3 Рд,пр, ЦС,ВР 20'!G369</f>
        <v>47200.3848</v>
      </c>
      <c r="F28" s="236">
        <f t="shared" si="1"/>
        <v>93.297065317296386</v>
      </c>
    </row>
    <row r="29" spans="1:6" ht="15.75" x14ac:dyDescent="0.25">
      <c r="A29" s="94" t="s">
        <v>556</v>
      </c>
      <c r="B29" s="20" t="s">
        <v>249</v>
      </c>
      <c r="C29" s="20" t="s">
        <v>230</v>
      </c>
      <c r="D29" s="27">
        <f>'Пр.3 Рд,пр, ЦС,ВР 20'!F439</f>
        <v>4821.6000000000004</v>
      </c>
      <c r="E29" s="339">
        <f>'Пр.3 Рд,пр, ЦС,ВР 20'!G439</f>
        <v>4114.4809999999998</v>
      </c>
      <c r="F29" s="236">
        <f t="shared" si="1"/>
        <v>85.334349593495929</v>
      </c>
    </row>
    <row r="30" spans="1:6" ht="15.75" x14ac:dyDescent="0.25">
      <c r="A30" s="25" t="s">
        <v>584</v>
      </c>
      <c r="B30" s="20" t="s">
        <v>249</v>
      </c>
      <c r="C30" s="20" t="s">
        <v>249</v>
      </c>
      <c r="D30" s="27">
        <f>'Пр.3 Рд,пр, ЦС,ВР 20'!F490</f>
        <v>23713.618200000001</v>
      </c>
      <c r="E30" s="339">
        <f>'Пр.3 Рд,пр, ЦС,ВР 20'!G490</f>
        <v>23662.074999999997</v>
      </c>
      <c r="F30" s="236">
        <f t="shared" si="1"/>
        <v>99.782643038420844</v>
      </c>
    </row>
    <row r="31" spans="1:6" ht="15.75" x14ac:dyDescent="0.25">
      <c r="A31" s="47" t="s">
        <v>278</v>
      </c>
      <c r="B31" s="24" t="s">
        <v>279</v>
      </c>
      <c r="C31" s="24"/>
      <c r="D31" s="44">
        <f t="shared" ref="D31:E31" si="6">SUM(D32:D36)</f>
        <v>373477.53074999998</v>
      </c>
      <c r="E31" s="44">
        <f t="shared" si="6"/>
        <v>352509.84426999994</v>
      </c>
      <c r="F31" s="93">
        <f t="shared" si="1"/>
        <v>94.38582384383507</v>
      </c>
    </row>
    <row r="32" spans="1:6" ht="15.75" x14ac:dyDescent="0.25">
      <c r="A32" s="94" t="s">
        <v>419</v>
      </c>
      <c r="B32" s="20" t="s">
        <v>279</v>
      </c>
      <c r="C32" s="20" t="s">
        <v>133</v>
      </c>
      <c r="D32" s="27">
        <f>'Пр.3 Рд,пр, ЦС,ВР 20'!F531</f>
        <v>110586.476</v>
      </c>
      <c r="E32" s="339">
        <f>'Пр.3 Рд,пр, ЦС,ВР 20'!G531</f>
        <v>101800.27149000001</v>
      </c>
      <c r="F32" s="236">
        <f t="shared" si="1"/>
        <v>92.054901442017211</v>
      </c>
    </row>
    <row r="33" spans="1:6" ht="15.75" x14ac:dyDescent="0.25">
      <c r="A33" s="94" t="s">
        <v>440</v>
      </c>
      <c r="B33" s="20" t="s">
        <v>279</v>
      </c>
      <c r="C33" s="20" t="s">
        <v>228</v>
      </c>
      <c r="D33" s="27">
        <f>'Пр.3 Рд,пр, ЦС,ВР 20'!F602</f>
        <v>183991.18700000001</v>
      </c>
      <c r="E33" s="339">
        <f>'Пр.3 Рд,пр, ЦС,ВР 20'!G602</f>
        <v>174477.16777999999</v>
      </c>
      <c r="F33" s="236">
        <f t="shared" si="1"/>
        <v>94.82908971069358</v>
      </c>
    </row>
    <row r="34" spans="1:6" ht="15.75" x14ac:dyDescent="0.25">
      <c r="A34" s="94" t="s">
        <v>280</v>
      </c>
      <c r="B34" s="20" t="s">
        <v>279</v>
      </c>
      <c r="C34" s="20" t="s">
        <v>230</v>
      </c>
      <c r="D34" s="27">
        <f>'Пр.3 Рд,пр, ЦС,ВР 20'!F717</f>
        <v>52927.499999999993</v>
      </c>
      <c r="E34" s="339">
        <f>'Пр.3 Рд,пр, ЦС,ВР 20'!G717</f>
        <v>52372.633959999999</v>
      </c>
      <c r="F34" s="236">
        <f t="shared" si="1"/>
        <v>98.951648878182425</v>
      </c>
    </row>
    <row r="35" spans="1:6" ht="15.75" x14ac:dyDescent="0.25">
      <c r="A35" s="94" t="s">
        <v>481</v>
      </c>
      <c r="B35" s="20" t="s">
        <v>279</v>
      </c>
      <c r="C35" s="20" t="s">
        <v>279</v>
      </c>
      <c r="D35" s="27">
        <f>'Пр.3 Рд,пр, ЦС,ВР 20'!F794</f>
        <v>5153.0999999999995</v>
      </c>
      <c r="E35" s="339">
        <f>'Пр.3 Рд,пр, ЦС,ВР 20'!G794</f>
        <v>4036.3848499999999</v>
      </c>
      <c r="F35" s="236">
        <f t="shared" si="1"/>
        <v>78.329255205604397</v>
      </c>
    </row>
    <row r="36" spans="1:6" ht="15.75" x14ac:dyDescent="0.25">
      <c r="A36" s="94" t="s">
        <v>310</v>
      </c>
      <c r="B36" s="20" t="s">
        <v>279</v>
      </c>
      <c r="C36" s="20" t="s">
        <v>234</v>
      </c>
      <c r="D36" s="27">
        <f>'Пр.3 Рд,пр, ЦС,ВР 20'!F823</f>
        <v>20819.267749999999</v>
      </c>
      <c r="E36" s="339">
        <f>'Пр.3 Рд,пр, ЦС,ВР 20'!G823</f>
        <v>19823.386190000001</v>
      </c>
      <c r="F36" s="236">
        <f t="shared" si="1"/>
        <v>95.216538967851079</v>
      </c>
    </row>
    <row r="37" spans="1:6" ht="15.75" x14ac:dyDescent="0.25">
      <c r="A37" s="97" t="s">
        <v>313</v>
      </c>
      <c r="B37" s="24" t="s">
        <v>314</v>
      </c>
      <c r="C37" s="20"/>
      <c r="D37" s="44">
        <f t="shared" ref="D37:E37" si="7">D38+D39</f>
        <v>73304.71375000001</v>
      </c>
      <c r="E37" s="44">
        <f t="shared" si="7"/>
        <v>72713.185769999996</v>
      </c>
      <c r="F37" s="93">
        <f t="shared" si="1"/>
        <v>99.193056012717847</v>
      </c>
    </row>
    <row r="38" spans="1:6" ht="15.75" x14ac:dyDescent="0.25">
      <c r="A38" s="96" t="s">
        <v>315</v>
      </c>
      <c r="B38" s="20" t="s">
        <v>314</v>
      </c>
      <c r="C38" s="20" t="s">
        <v>133</v>
      </c>
      <c r="D38" s="27">
        <f>'Пр.3 Рд,пр, ЦС,ВР 20'!F854</f>
        <v>55428.523000000001</v>
      </c>
      <c r="E38" s="339">
        <f>'Пр.3 Рд,пр, ЦС,ВР 20'!G854</f>
        <v>54851.02399999999</v>
      </c>
      <c r="F38" s="236">
        <f t="shared" si="1"/>
        <v>98.958119450521878</v>
      </c>
    </row>
    <row r="39" spans="1:6" ht="15.75" x14ac:dyDescent="0.25">
      <c r="A39" s="96" t="s">
        <v>348</v>
      </c>
      <c r="B39" s="20" t="s">
        <v>314</v>
      </c>
      <c r="C39" s="20" t="s">
        <v>165</v>
      </c>
      <c r="D39" s="27">
        <f>'Пр.3 Рд,пр, ЦС,ВР 20'!F933</f>
        <v>17876.190750000005</v>
      </c>
      <c r="E39" s="339">
        <f>'Пр.3 Рд,пр, ЦС,ВР 20'!G933</f>
        <v>17862.161770000002</v>
      </c>
      <c r="F39" s="236">
        <f t="shared" si="1"/>
        <v>99.921521423684723</v>
      </c>
    </row>
    <row r="40" spans="1:6" ht="15.75" x14ac:dyDescent="0.25">
      <c r="A40" s="47" t="s">
        <v>258</v>
      </c>
      <c r="B40" s="24" t="s">
        <v>259</v>
      </c>
      <c r="C40" s="24"/>
      <c r="D40" s="44">
        <f>SUM(D41:D44)</f>
        <v>15303.46</v>
      </c>
      <c r="E40" s="44">
        <f t="shared" ref="E40" si="8">SUM(E41:E44)</f>
        <v>14825.194810000001</v>
      </c>
      <c r="F40" s="93">
        <f t="shared" si="1"/>
        <v>96.874790472220013</v>
      </c>
    </row>
    <row r="41" spans="1:6" ht="15.75" x14ac:dyDescent="0.25">
      <c r="A41" s="94" t="s">
        <v>260</v>
      </c>
      <c r="B41" s="20" t="s">
        <v>259</v>
      </c>
      <c r="C41" s="20" t="s">
        <v>133</v>
      </c>
      <c r="D41" s="27">
        <f>'Пр.3 Рд,пр, ЦС,ВР 20'!F966</f>
        <v>10326</v>
      </c>
      <c r="E41" s="339">
        <f>'Пр.3 Рд,пр, ЦС,ВР 20'!G966</f>
        <v>10325.19124</v>
      </c>
      <c r="F41" s="236">
        <f t="shared" si="1"/>
        <v>99.992167731938792</v>
      </c>
    </row>
    <row r="42" spans="1:6" ht="15.75" x14ac:dyDescent="0.25">
      <c r="A42" s="25" t="s">
        <v>267</v>
      </c>
      <c r="B42" s="20" t="s">
        <v>259</v>
      </c>
      <c r="C42" s="20" t="s">
        <v>230</v>
      </c>
      <c r="D42" s="27">
        <f>'Пр.3 Рд,пр, ЦС,ВР 20'!F972</f>
        <v>1324.9</v>
      </c>
      <c r="E42" s="339">
        <f>'Пр.3 Рд,пр, ЦС,ВР 20'!G972</f>
        <v>1324.6980000000001</v>
      </c>
      <c r="F42" s="236">
        <f t="shared" si="1"/>
        <v>99.984753566306892</v>
      </c>
    </row>
    <row r="43" spans="1:6" s="210" customFormat="1" ht="15.75" x14ac:dyDescent="0.25">
      <c r="A43" s="25" t="s">
        <v>415</v>
      </c>
      <c r="B43" s="20" t="s">
        <v>259</v>
      </c>
      <c r="C43" s="20" t="s">
        <v>165</v>
      </c>
      <c r="D43" s="27">
        <f>'Пр.3 Рд,пр, ЦС,ВР 20'!F1005</f>
        <v>31.160000000000082</v>
      </c>
      <c r="E43" s="339">
        <f>'Пр.3 Рд,пр, ЦС,ВР 20'!G1005</f>
        <v>0</v>
      </c>
      <c r="F43" s="236">
        <f t="shared" si="1"/>
        <v>0</v>
      </c>
    </row>
    <row r="44" spans="1:6" ht="15.75" x14ac:dyDescent="0.25">
      <c r="A44" s="25" t="s">
        <v>273</v>
      </c>
      <c r="B44" s="20" t="s">
        <v>259</v>
      </c>
      <c r="C44" s="20" t="s">
        <v>135</v>
      </c>
      <c r="D44" s="27">
        <f>'Пр.3 Рд,пр, ЦС,ВР 20'!F1010</f>
        <v>3621.4</v>
      </c>
      <c r="E44" s="339">
        <f>'Пр.3 Рд,пр, ЦС,ВР 20'!G1010</f>
        <v>3175.30557</v>
      </c>
      <c r="F44" s="236">
        <f t="shared" si="1"/>
        <v>87.681713425746949</v>
      </c>
    </row>
    <row r="45" spans="1:6" ht="15.75" x14ac:dyDescent="0.25">
      <c r="A45" s="97" t="s">
        <v>505</v>
      </c>
      <c r="B45" s="24" t="s">
        <v>506</v>
      </c>
      <c r="C45" s="20"/>
      <c r="D45" s="44">
        <f t="shared" ref="D45:E45" si="9">D46+D47</f>
        <v>65756.208149999991</v>
      </c>
      <c r="E45" s="44">
        <f t="shared" si="9"/>
        <v>65462.30128</v>
      </c>
      <c r="F45" s="93">
        <f t="shared" si="1"/>
        <v>99.553035556232885</v>
      </c>
    </row>
    <row r="46" spans="1:6" ht="15.75" x14ac:dyDescent="0.25">
      <c r="A46" s="96" t="s">
        <v>507</v>
      </c>
      <c r="B46" s="20" t="s">
        <v>506</v>
      </c>
      <c r="C46" s="20" t="s">
        <v>133</v>
      </c>
      <c r="D46" s="27">
        <f>'Пр.3 Рд,пр, ЦС,ВР 20'!F1024</f>
        <v>54095.200399999994</v>
      </c>
      <c r="E46" s="339">
        <f>'Пр.3 Рд,пр, ЦС,ВР 20'!G1024</f>
        <v>53888.608500000002</v>
      </c>
      <c r="F46" s="236">
        <f t="shared" si="1"/>
        <v>99.618095693384305</v>
      </c>
    </row>
    <row r="47" spans="1:6" ht="15.75" x14ac:dyDescent="0.25">
      <c r="A47" s="96" t="s">
        <v>515</v>
      </c>
      <c r="B47" s="20" t="s">
        <v>506</v>
      </c>
      <c r="C47" s="20" t="s">
        <v>249</v>
      </c>
      <c r="D47" s="27">
        <f>'Пр.3 Рд,пр, ЦС,ВР 20'!F1086</f>
        <v>11661.007750000001</v>
      </c>
      <c r="E47" s="339">
        <f>'Пр.3 Рд,пр, ЦС,ВР 20'!G1086</f>
        <v>11573.692780000001</v>
      </c>
      <c r="F47" s="236">
        <f t="shared" si="1"/>
        <v>99.251222777036574</v>
      </c>
    </row>
    <row r="48" spans="1:6" ht="15.75" x14ac:dyDescent="0.25">
      <c r="A48" s="19" t="s">
        <v>597</v>
      </c>
      <c r="B48" s="24" t="s">
        <v>253</v>
      </c>
      <c r="C48" s="20"/>
      <c r="D48" s="44">
        <f t="shared" ref="D48:E48" si="10">D49</f>
        <v>6543.0999999999985</v>
      </c>
      <c r="E48" s="44">
        <f t="shared" si="10"/>
        <v>6536.8035399999999</v>
      </c>
      <c r="F48" s="93">
        <f t="shared" si="1"/>
        <v>99.903769467072195</v>
      </c>
    </row>
    <row r="49" spans="1:6" ht="15.75" x14ac:dyDescent="0.25">
      <c r="A49" s="31" t="s">
        <v>598</v>
      </c>
      <c r="B49" s="20" t="s">
        <v>253</v>
      </c>
      <c r="C49" s="20" t="s">
        <v>228</v>
      </c>
      <c r="D49" s="27">
        <f>'Пр.3 Рд,пр, ЦС,ВР 20'!F1119</f>
        <v>6543.0999999999985</v>
      </c>
      <c r="E49" s="339">
        <f>'Пр.3 Рд,пр, ЦС,ВР 20'!G1119</f>
        <v>6536.8035399999999</v>
      </c>
      <c r="F49" s="236">
        <f t="shared" si="1"/>
        <v>99.903769467072195</v>
      </c>
    </row>
    <row r="50" spans="1:6" ht="15.75" x14ac:dyDescent="0.25">
      <c r="A50" s="92" t="s">
        <v>693</v>
      </c>
      <c r="B50" s="24"/>
      <c r="C50" s="24"/>
      <c r="D50" s="44">
        <f>D10+D19+D21+D26+D31+D37+D40+D45+D48+D17</f>
        <v>782239.5443999999</v>
      </c>
      <c r="E50" s="44">
        <f t="shared" ref="E50" si="11">E10+E19+E21+E26+E31+E37+E40+E45+E48+E17</f>
        <v>753289.39202999987</v>
      </c>
      <c r="F50" s="93">
        <f t="shared" si="1"/>
        <v>96.299068159203642</v>
      </c>
    </row>
    <row r="51" spans="1:6" hidden="1" x14ac:dyDescent="0.25">
      <c r="D51">
        <f>'Пр.4 ведом.20'!G1244</f>
        <v>782239.54439999978</v>
      </c>
      <c r="E51" s="345">
        <f>'Пр.4 ведом.20'!H1244</f>
        <v>753289.39202999999</v>
      </c>
      <c r="F51" s="345">
        <f>'Пр.4 ведом.20'!I1244</f>
        <v>96.299068159203657</v>
      </c>
    </row>
    <row r="52" spans="1:6" hidden="1" x14ac:dyDescent="0.25">
      <c r="D52" s="22">
        <f t="shared" ref="D52:F52" si="12">D51-D50</f>
        <v>0</v>
      </c>
      <c r="E52" s="348">
        <f t="shared" si="12"/>
        <v>0</v>
      </c>
      <c r="F52" s="348">
        <f t="shared" si="12"/>
        <v>0</v>
      </c>
    </row>
    <row r="53" spans="1:6" hidden="1" x14ac:dyDescent="0.25">
      <c r="D53" s="231">
        <f>пр.1дох.20!C188</f>
        <v>757611.66200000001</v>
      </c>
      <c r="E53" s="231" t="e">
        <f>пр.1дох.20!#REF!</f>
        <v>#REF!</v>
      </c>
      <c r="F53" s="231" t="e">
        <f>пр.1дох.20!#REF!</f>
        <v>#REF!</v>
      </c>
    </row>
    <row r="54" spans="1:6" hidden="1" x14ac:dyDescent="0.25">
      <c r="D54" s="231">
        <f>D53-D50</f>
        <v>-24627.882399999886</v>
      </c>
      <c r="E54" s="231" t="e">
        <f t="shared" ref="E54:F54" si="13">E53-E50</f>
        <v>#REF!</v>
      </c>
      <c r="F54" s="231" t="e">
        <f t="shared" si="13"/>
        <v>#REF!</v>
      </c>
    </row>
  </sheetData>
  <mergeCells count="6">
    <mergeCell ref="E1:F1"/>
    <mergeCell ref="A5:F5"/>
    <mergeCell ref="A6:F6"/>
    <mergeCell ref="A7:F7"/>
    <mergeCell ref="E3:F3"/>
    <mergeCell ref="E2:F2"/>
  </mergeCells>
  <pageMargins left="0.23622047244094491" right="0.23622047244094491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5" sqref="A5:E5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10"/>
      <c r="C1" s="11"/>
      <c r="D1" s="435" t="s">
        <v>1461</v>
      </c>
      <c r="E1" s="435"/>
    </row>
    <row r="2" spans="1:7" ht="15.75" x14ac:dyDescent="0.25">
      <c r="A2" s="11"/>
      <c r="B2" s="210"/>
      <c r="C2" s="11"/>
      <c r="D2" s="435" t="s">
        <v>0</v>
      </c>
      <c r="E2" s="435"/>
    </row>
    <row r="3" spans="1:7" ht="18.75" x14ac:dyDescent="0.3">
      <c r="A3" s="11"/>
      <c r="B3" s="155"/>
      <c r="C3" s="11"/>
      <c r="D3" s="435" t="s">
        <v>1601</v>
      </c>
      <c r="E3" s="435"/>
    </row>
    <row r="4" spans="1:7" s="309" customFormat="1" ht="18.75" x14ac:dyDescent="0.3">
      <c r="A4" s="11"/>
      <c r="B4" s="155"/>
      <c r="C4" s="11"/>
      <c r="E4" s="130"/>
    </row>
    <row r="5" spans="1:7" ht="15.75" x14ac:dyDescent="0.25">
      <c r="A5" s="432" t="s">
        <v>1341</v>
      </c>
      <c r="B5" s="432"/>
      <c r="C5" s="432"/>
      <c r="D5" s="432"/>
      <c r="E5" s="432"/>
    </row>
    <row r="6" spans="1:7" ht="15.75" x14ac:dyDescent="0.25">
      <c r="A6" s="432" t="s">
        <v>1343</v>
      </c>
      <c r="B6" s="432"/>
      <c r="C6" s="432"/>
      <c r="D6" s="432"/>
      <c r="E6" s="432"/>
    </row>
    <row r="7" spans="1:7" ht="15.75" x14ac:dyDescent="0.25">
      <c r="A7" s="432" t="s">
        <v>1344</v>
      </c>
      <c r="B7" s="432"/>
      <c r="C7" s="432"/>
      <c r="D7" s="432"/>
      <c r="E7" s="432"/>
    </row>
    <row r="8" spans="1:7" ht="15.75" x14ac:dyDescent="0.25">
      <c r="A8" s="433"/>
      <c r="B8" s="434"/>
      <c r="C8" s="434"/>
      <c r="D8" s="210"/>
      <c r="E8" s="210"/>
    </row>
    <row r="9" spans="1:7" x14ac:dyDescent="0.25">
      <c r="A9" s="210"/>
      <c r="B9" s="90"/>
      <c r="C9" s="90"/>
      <c r="D9" s="210"/>
      <c r="E9" s="194" t="s">
        <v>1</v>
      </c>
    </row>
    <row r="10" spans="1:7" ht="31.5" x14ac:dyDescent="0.25">
      <c r="A10" s="91" t="s">
        <v>690</v>
      </c>
      <c r="B10" s="91" t="s">
        <v>691</v>
      </c>
      <c r="C10" s="91" t="s">
        <v>692</v>
      </c>
      <c r="D10" s="232" t="s">
        <v>1191</v>
      </c>
      <c r="E10" s="232" t="s">
        <v>1192</v>
      </c>
    </row>
    <row r="11" spans="1:7" ht="15.75" x14ac:dyDescent="0.25">
      <c r="A11" s="47" t="s">
        <v>132</v>
      </c>
      <c r="B11" s="24" t="s">
        <v>133</v>
      </c>
      <c r="C11" s="92"/>
      <c r="D11" s="93">
        <f>SUM(D12:D17)</f>
        <v>141364.12</v>
      </c>
      <c r="E11" s="93">
        <f>SUM(E12:E17)</f>
        <v>147123.02000000002</v>
      </c>
      <c r="G11" s="22"/>
    </row>
    <row r="12" spans="1:7" ht="31.5" x14ac:dyDescent="0.25">
      <c r="A12" s="31" t="s">
        <v>590</v>
      </c>
      <c r="B12" s="20" t="s">
        <v>133</v>
      </c>
      <c r="C12" s="20" t="s">
        <v>228</v>
      </c>
      <c r="D12" s="236">
        <f>'пр.4.1.рдпрцс 21-22'!F9</f>
        <v>4268.5</v>
      </c>
      <c r="E12" s="236">
        <f>'пр.4.1.рдпрцс 21-22'!G9</f>
        <v>4268.5</v>
      </c>
    </row>
    <row r="13" spans="1:7" ht="47.25" x14ac:dyDescent="0.25">
      <c r="A13" s="31" t="s">
        <v>593</v>
      </c>
      <c r="B13" s="20" t="s">
        <v>133</v>
      </c>
      <c r="C13" s="20" t="s">
        <v>230</v>
      </c>
      <c r="D13" s="236">
        <f>'пр.4.1.рдпрцс 21-22'!F28</f>
        <v>1091</v>
      </c>
      <c r="E13" s="236">
        <f>'пр.4.1.рдпрцс 21-22'!G28</f>
        <v>1091</v>
      </c>
    </row>
    <row r="14" spans="1:7" ht="47.25" x14ac:dyDescent="0.25">
      <c r="A14" s="25" t="s">
        <v>164</v>
      </c>
      <c r="B14" s="20" t="s">
        <v>133</v>
      </c>
      <c r="C14" s="20" t="s">
        <v>165</v>
      </c>
      <c r="D14" s="236">
        <f>'пр.4.1.рдпрцс 21-22'!F39</f>
        <v>62536.4</v>
      </c>
      <c r="E14" s="236">
        <f>'пр.4.1.рдпрцс 21-22'!G39</f>
        <v>62593.1</v>
      </c>
    </row>
    <row r="15" spans="1:7" ht="47.25" x14ac:dyDescent="0.25">
      <c r="A15" s="25" t="s">
        <v>134</v>
      </c>
      <c r="B15" s="20" t="s">
        <v>133</v>
      </c>
      <c r="C15" s="20" t="s">
        <v>135</v>
      </c>
      <c r="D15" s="236">
        <f>'пр.4.1.рдпрцс 21-22'!F97</f>
        <v>14409.5</v>
      </c>
      <c r="E15" s="236">
        <f>'пр.4.1.рдпрцс 21-22'!G97</f>
        <v>15283.5</v>
      </c>
    </row>
    <row r="16" spans="1:7" s="210" customFormat="1" ht="15.75" hidden="1" x14ac:dyDescent="0.25">
      <c r="A16" s="25" t="s">
        <v>1361</v>
      </c>
      <c r="B16" s="20" t="s">
        <v>133</v>
      </c>
      <c r="C16" s="20" t="s">
        <v>279</v>
      </c>
      <c r="D16" s="236">
        <f>'пр.4.1.рдпрцс 21-22'!F119</f>
        <v>0</v>
      </c>
      <c r="E16" s="236">
        <f>'пр.4.1.рдпрцс 21-22'!G119</f>
        <v>0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36">
        <f>'пр.4.1.рдпрцс 21-22'!F127</f>
        <v>59058.720000000001</v>
      </c>
      <c r="E17" s="236">
        <f>'пр.4.1.рдпрцс 21-22'!G127</f>
        <v>63886.92</v>
      </c>
    </row>
    <row r="18" spans="1:5" ht="15.75" hidden="1" x14ac:dyDescent="0.25">
      <c r="A18" s="19" t="s">
        <v>227</v>
      </c>
      <c r="B18" s="24" t="s">
        <v>228</v>
      </c>
      <c r="C18" s="20"/>
      <c r="D18" s="93">
        <f>'пр.2 Рд,пр 20'!D17</f>
        <v>0</v>
      </c>
      <c r="E18" s="93">
        <f>'пр.2 Рд,пр 20'!E17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36">
        <f>'пр.2 Рд,пр 20'!D18</f>
        <v>0</v>
      </c>
      <c r="E19" s="236">
        <f>'пр.2 Рд,пр 20'!E18</f>
        <v>0</v>
      </c>
    </row>
    <row r="20" spans="1:5" ht="31.5" x14ac:dyDescent="0.25">
      <c r="A20" s="34" t="s">
        <v>237</v>
      </c>
      <c r="B20" s="24" t="s">
        <v>230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36">
        <f>'пр.4.1.рдпрцс 21-22'!F223</f>
        <v>8029</v>
      </c>
      <c r="E21" s="236">
        <f>'пр.4.1.рдпрцс 21-22'!G223</f>
        <v>8029</v>
      </c>
    </row>
    <row r="22" spans="1:5" ht="15.75" x14ac:dyDescent="0.25">
      <c r="A22" s="47" t="s">
        <v>247</v>
      </c>
      <c r="B22" s="24" t="s">
        <v>165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36">
        <f>'пр.4.1.рдпрцс 21-22'!F242</f>
        <v>306</v>
      </c>
      <c r="E23" s="236">
        <f>'пр.4.1.рдпрцс 21-22'!G242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36">
        <f>'пр.4.1.рдпрцс 21-22'!F255</f>
        <v>3258</v>
      </c>
      <c r="E24" s="236">
        <f>'пр.4.1.рдпрцс 21-22'!G255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36">
        <f>'пр.4.1.рдпрцс 21-22'!F261</f>
        <v>3189</v>
      </c>
      <c r="E25" s="236">
        <f>'пр.4.1.рдпрцс 21-22'!G261</f>
        <v>3278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36">
        <f>'пр.4.1.рдпрцс 21-22'!F273</f>
        <v>858.8</v>
      </c>
      <c r="E26" s="236">
        <f>'пр.4.1.рдпрцс 21-22'!G273</f>
        <v>737.5</v>
      </c>
    </row>
    <row r="27" spans="1:5" ht="15.75" x14ac:dyDescent="0.25">
      <c r="A27" s="47" t="s">
        <v>405</v>
      </c>
      <c r="B27" s="24" t="s">
        <v>249</v>
      </c>
      <c r="C27" s="24"/>
      <c r="D27" s="93">
        <f>SUM(D28:D31)</f>
        <v>61026.5</v>
      </c>
      <c r="E27" s="93">
        <f>SUM(E28:E31)</f>
        <v>44867.9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36">
        <f>'пр.4.1.рдпрцс 21-22'!F317</f>
        <v>6341</v>
      </c>
      <c r="E28" s="236">
        <f>'пр.4.1.рдпрцс 21-22'!G317</f>
        <v>6341</v>
      </c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36">
        <f>'пр.4.1.рдпрцс 21-22'!F331</f>
        <v>5935</v>
      </c>
      <c r="E29" s="236">
        <f>'пр.4.1.рдпрцс 21-22'!G331</f>
        <v>4693.3999999999996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36">
        <f>'пр.4.1.рдпрцс 21-22'!F395</f>
        <v>26443.5</v>
      </c>
      <c r="E30" s="236">
        <f>'пр.4.1.рдпрцс 21-22'!G395</f>
        <v>11526.5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36">
        <f>'пр.4.1.рдпрцс 21-22'!F444</f>
        <v>22307</v>
      </c>
      <c r="E31" s="236">
        <f>'пр.4.1.рдпрцс 21-22'!G444</f>
        <v>22307</v>
      </c>
    </row>
    <row r="32" spans="1:5" ht="15.75" x14ac:dyDescent="0.25">
      <c r="A32" s="47" t="s">
        <v>278</v>
      </c>
      <c r="B32" s="24" t="s">
        <v>279</v>
      </c>
      <c r="C32" s="24"/>
      <c r="D32" s="93">
        <f>SUM(D33:D37)</f>
        <v>381259.7</v>
      </c>
      <c r="E32" s="93">
        <f>SUM(E33:E37)</f>
        <v>382622.51399999997</v>
      </c>
    </row>
    <row r="33" spans="1:7" ht="15.75" x14ac:dyDescent="0.25">
      <c r="A33" s="94" t="s">
        <v>419</v>
      </c>
      <c r="B33" s="20" t="s">
        <v>279</v>
      </c>
      <c r="C33" s="20" t="s">
        <v>133</v>
      </c>
      <c r="D33" s="236">
        <f>'пр.4.1.рдпрцс 21-22'!F480</f>
        <v>109329.5</v>
      </c>
      <c r="E33" s="236">
        <f>'пр.4.1.рдпрцс 21-22'!G480</f>
        <v>109329.5</v>
      </c>
    </row>
    <row r="34" spans="1:7" ht="15.75" x14ac:dyDescent="0.25">
      <c r="A34" s="94" t="s">
        <v>440</v>
      </c>
      <c r="B34" s="20" t="s">
        <v>279</v>
      </c>
      <c r="C34" s="20" t="s">
        <v>228</v>
      </c>
      <c r="D34" s="236">
        <f>'пр.4.1.рдпрцс 21-22'!F551</f>
        <v>193443.7</v>
      </c>
      <c r="E34" s="236">
        <f>'пр.4.1.рдпрцс 21-22'!G551</f>
        <v>194806.514</v>
      </c>
    </row>
    <row r="35" spans="1:7" ht="15.75" x14ac:dyDescent="0.25">
      <c r="A35" s="94" t="s">
        <v>280</v>
      </c>
      <c r="B35" s="20" t="s">
        <v>279</v>
      </c>
      <c r="C35" s="20" t="s">
        <v>230</v>
      </c>
      <c r="D35" s="236">
        <f>'пр.4.1.рдпрцс 21-22'!F635</f>
        <v>52091.599999999991</v>
      </c>
      <c r="E35" s="236">
        <f>'пр.4.1.рдпрцс 21-22'!G635</f>
        <v>52091.599999999991</v>
      </c>
    </row>
    <row r="36" spans="1:7" ht="15.75" x14ac:dyDescent="0.25">
      <c r="A36" s="94" t="s">
        <v>481</v>
      </c>
      <c r="B36" s="20" t="s">
        <v>279</v>
      </c>
      <c r="C36" s="20" t="s">
        <v>279</v>
      </c>
      <c r="D36" s="236">
        <f>'пр.4.1.рдпрцс 21-22'!F709</f>
        <v>6564.9</v>
      </c>
      <c r="E36" s="236">
        <f>'пр.4.1.рдпрцс 21-22'!G709</f>
        <v>6564.9</v>
      </c>
    </row>
    <row r="37" spans="1:7" ht="15.75" x14ac:dyDescent="0.25">
      <c r="A37" s="94" t="s">
        <v>310</v>
      </c>
      <c r="B37" s="20" t="s">
        <v>279</v>
      </c>
      <c r="C37" s="20" t="s">
        <v>234</v>
      </c>
      <c r="D37" s="236">
        <f>'пр.4.1.рдпрцс 21-22'!F738</f>
        <v>19830</v>
      </c>
      <c r="E37" s="236">
        <f>'пр.4.1.рдпрцс 21-22'!G738</f>
        <v>19830</v>
      </c>
    </row>
    <row r="38" spans="1:7" ht="15.75" x14ac:dyDescent="0.25">
      <c r="A38" s="97" t="s">
        <v>313</v>
      </c>
      <c r="B38" s="24" t="s">
        <v>314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315</v>
      </c>
      <c r="B39" s="20" t="s">
        <v>314</v>
      </c>
      <c r="C39" s="20" t="s">
        <v>133</v>
      </c>
      <c r="D39" s="236">
        <f>'пр.4.1.рдпрцс 21-22'!F766</f>
        <v>52929.512000000002</v>
      </c>
      <c r="E39" s="236">
        <f>'пр.4.1.рдпрцс 21-22'!G766</f>
        <v>50655.199999999997</v>
      </c>
    </row>
    <row r="40" spans="1:7" ht="15.75" x14ac:dyDescent="0.25">
      <c r="A40" s="96" t="s">
        <v>348</v>
      </c>
      <c r="B40" s="20" t="s">
        <v>314</v>
      </c>
      <c r="C40" s="20" t="s">
        <v>165</v>
      </c>
      <c r="D40" s="236">
        <f>'пр.4.1.рдпрцс 21-22'!F839</f>
        <v>17339</v>
      </c>
      <c r="E40" s="236">
        <f>'пр.4.1.рдпрцс 21-22'!G839</f>
        <v>17339</v>
      </c>
    </row>
    <row r="41" spans="1:7" ht="15.75" x14ac:dyDescent="0.25">
      <c r="A41" s="47" t="s">
        <v>258</v>
      </c>
      <c r="B41" s="24" t="s">
        <v>259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260</v>
      </c>
      <c r="B42" s="20" t="s">
        <v>259</v>
      </c>
      <c r="C42" s="20" t="s">
        <v>133</v>
      </c>
      <c r="D42" s="236">
        <f>'пр.4.1.рдпрцс 21-22'!F869</f>
        <v>9456</v>
      </c>
      <c r="E42" s="236">
        <f>'пр.4.1.рдпрцс 21-22'!G869</f>
        <v>9456</v>
      </c>
    </row>
    <row r="43" spans="1:7" ht="15.75" x14ac:dyDescent="0.25">
      <c r="A43" s="25" t="s">
        <v>267</v>
      </c>
      <c r="B43" s="20" t="s">
        <v>259</v>
      </c>
      <c r="C43" s="20" t="s">
        <v>230</v>
      </c>
      <c r="D43" s="236">
        <f>'пр.4.1.рдпрцс 21-22'!F875</f>
        <v>6834</v>
      </c>
      <c r="E43" s="236">
        <f>'пр.4.1.рдпрцс 21-22'!G875</f>
        <v>1844</v>
      </c>
    </row>
    <row r="44" spans="1:7" ht="15.75" x14ac:dyDescent="0.25">
      <c r="A44" s="25" t="s">
        <v>273</v>
      </c>
      <c r="B44" s="20" t="s">
        <v>259</v>
      </c>
      <c r="C44" s="20" t="s">
        <v>135</v>
      </c>
      <c r="D44" s="236">
        <f>'пр.4.1.рдпрцс 21-22'!F911</f>
        <v>3708.4</v>
      </c>
      <c r="E44" s="236">
        <f>'пр.4.1.рдпрцс 21-22'!G911</f>
        <v>3708.4</v>
      </c>
    </row>
    <row r="45" spans="1:7" ht="15.75" x14ac:dyDescent="0.25">
      <c r="A45" s="97" t="s">
        <v>505</v>
      </c>
      <c r="B45" s="24" t="s">
        <v>506</v>
      </c>
      <c r="C45" s="20"/>
      <c r="D45" s="93">
        <f>SUM(D46:D47)</f>
        <v>58483.6</v>
      </c>
      <c r="E45" s="93">
        <f>SUM(E46:E47)</f>
        <v>58735.6</v>
      </c>
      <c r="G45" s="22"/>
    </row>
    <row r="46" spans="1:7" ht="15.75" x14ac:dyDescent="0.25">
      <c r="A46" s="96" t="s">
        <v>507</v>
      </c>
      <c r="B46" s="20" t="s">
        <v>506</v>
      </c>
      <c r="C46" s="20" t="s">
        <v>133</v>
      </c>
      <c r="D46" s="236">
        <f>'пр.4.1.рдпрцс 21-22'!F925</f>
        <v>46727.6</v>
      </c>
      <c r="E46" s="236">
        <f>'пр.4.1.рдпрцс 21-22'!G925</f>
        <v>46979.6</v>
      </c>
    </row>
    <row r="47" spans="1:7" ht="15.75" x14ac:dyDescent="0.25">
      <c r="A47" s="96" t="s">
        <v>515</v>
      </c>
      <c r="B47" s="20" t="s">
        <v>506</v>
      </c>
      <c r="C47" s="20" t="s">
        <v>249</v>
      </c>
      <c r="D47" s="236">
        <f>'пр.4.1.рдпрцс 21-22'!F964</f>
        <v>11756</v>
      </c>
      <c r="E47" s="236">
        <f>'пр.4.1.рдпрцс 21-22'!G964</f>
        <v>11756</v>
      </c>
    </row>
    <row r="48" spans="1:7" ht="15.75" x14ac:dyDescent="0.25">
      <c r="A48" s="19" t="s">
        <v>597</v>
      </c>
      <c r="B48" s="24" t="s">
        <v>253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598</v>
      </c>
      <c r="B49" s="20" t="s">
        <v>253</v>
      </c>
      <c r="C49" s="20" t="s">
        <v>228</v>
      </c>
      <c r="D49" s="236">
        <f>'пр.4.1.рдпрцс 21-22'!F994</f>
        <v>5479</v>
      </c>
      <c r="E49" s="236">
        <f>'пр.4.1.рдпрцс 21-22'!G994</f>
        <v>5479</v>
      </c>
    </row>
    <row r="50" spans="1:7" ht="15.75" x14ac:dyDescent="0.25">
      <c r="A50" s="92" t="s">
        <v>693</v>
      </c>
      <c r="B50" s="24"/>
      <c r="C50" s="24"/>
      <c r="D50" s="93">
        <f>D11+D20+D22+D27+D32+D38+D41+D45+D48</f>
        <v>753520.63199999998</v>
      </c>
      <c r="E50" s="93">
        <f>E11+E20+E22+E27+E32+E38+E41+E45+E48</f>
        <v>737439.13399999996</v>
      </c>
      <c r="G50" s="22"/>
    </row>
    <row r="52" spans="1:7" hidden="1" x14ac:dyDescent="0.25">
      <c r="D52" s="240">
        <f>'Пр.1.1. дох.21-22'!C151</f>
        <v>753520.63199999998</v>
      </c>
      <c r="E52">
        <f>'Пр.1.1. дох.21-22'!D151</f>
        <v>735832.82</v>
      </c>
    </row>
    <row r="53" spans="1:7" hidden="1" x14ac:dyDescent="0.25"/>
    <row r="54" spans="1:7" hidden="1" x14ac:dyDescent="0.25">
      <c r="D54" s="240">
        <f>D52-D50</f>
        <v>0</v>
      </c>
      <c r="E54" s="240">
        <f>E52-E50</f>
        <v>-1606.314000000013</v>
      </c>
    </row>
  </sheetData>
  <mergeCells count="7">
    <mergeCell ref="A8:C8"/>
    <mergeCell ref="D3:E3"/>
    <mergeCell ref="D2:E2"/>
    <mergeCell ref="D1:E1"/>
    <mergeCell ref="A5:E5"/>
    <mergeCell ref="A6:E6"/>
    <mergeCell ref="A7:E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view="pageBreakPreview" zoomScaleNormal="100" zoomScaleSheetLayoutView="100" workbookViewId="0">
      <selection activeCell="G3" sqref="G3:H3"/>
    </sheetView>
  </sheetViews>
  <sheetFormatPr defaultRowHeight="15" x14ac:dyDescent="0.25"/>
  <cols>
    <col min="1" max="1" width="54.42578125" style="310" customWidth="1"/>
    <col min="2" max="2" width="5" style="310" customWidth="1"/>
    <col min="3" max="3" width="4.85546875" style="310" customWidth="1"/>
    <col min="4" max="4" width="14.85546875" style="310" customWidth="1"/>
    <col min="5" max="5" width="5.85546875" style="310" customWidth="1"/>
    <col min="6" max="6" width="12.5703125" style="340" customWidth="1"/>
    <col min="7" max="7" width="12.7109375" style="340" customWidth="1"/>
    <col min="8" max="8" width="13.7109375" style="340" customWidth="1"/>
  </cols>
  <sheetData>
    <row r="1" spans="1:9" ht="15.75" x14ac:dyDescent="0.25">
      <c r="A1" s="56"/>
      <c r="B1" s="56"/>
      <c r="C1" s="56"/>
      <c r="G1" s="369" t="s">
        <v>1675</v>
      </c>
      <c r="H1" s="369"/>
      <c r="I1" s="369"/>
    </row>
    <row r="2" spans="1:9" ht="15.75" x14ac:dyDescent="0.25">
      <c r="A2" s="56"/>
      <c r="B2" s="56"/>
      <c r="C2" s="56"/>
      <c r="G2" s="446" t="s">
        <v>0</v>
      </c>
      <c r="H2" s="446"/>
      <c r="I2" s="369"/>
    </row>
    <row r="3" spans="1:9" ht="18.75" customHeight="1" x14ac:dyDescent="0.25">
      <c r="A3" s="56"/>
      <c r="B3" s="56"/>
      <c r="C3" s="56"/>
      <c r="G3" s="446" t="s">
        <v>1677</v>
      </c>
      <c r="H3" s="446"/>
      <c r="I3" s="369"/>
    </row>
    <row r="4" spans="1:9" x14ac:dyDescent="0.25">
      <c r="A4" s="56"/>
      <c r="B4" s="56"/>
      <c r="C4" s="56"/>
      <c r="D4" s="56"/>
      <c r="E4" s="56"/>
    </row>
    <row r="5" spans="1:9" ht="63.75" customHeight="1" x14ac:dyDescent="0.25">
      <c r="A5" s="436" t="s">
        <v>1615</v>
      </c>
      <c r="B5" s="436"/>
      <c r="C5" s="436"/>
      <c r="D5" s="436"/>
      <c r="E5" s="436"/>
      <c r="F5" s="436"/>
      <c r="G5" s="436"/>
      <c r="H5" s="436"/>
    </row>
    <row r="6" spans="1:9" x14ac:dyDescent="0.25">
      <c r="A6" s="56"/>
      <c r="B6" s="56"/>
      <c r="C6" s="56"/>
      <c r="D6" s="56"/>
      <c r="E6" s="56"/>
      <c r="F6" s="291"/>
      <c r="G6" s="291"/>
      <c r="H6" s="291"/>
    </row>
    <row r="7" spans="1:9" ht="62.45" customHeight="1" x14ac:dyDescent="0.25">
      <c r="A7" s="233" t="s">
        <v>607</v>
      </c>
      <c r="B7" s="234" t="s">
        <v>127</v>
      </c>
      <c r="C7" s="234" t="s">
        <v>128</v>
      </c>
      <c r="D7" s="234" t="s">
        <v>129</v>
      </c>
      <c r="E7" s="234" t="s">
        <v>130</v>
      </c>
      <c r="F7" s="292" t="s">
        <v>1609</v>
      </c>
      <c r="G7" s="292" t="s">
        <v>1607</v>
      </c>
      <c r="H7" s="292" t="s">
        <v>1608</v>
      </c>
    </row>
    <row r="8" spans="1:9" ht="15.75" x14ac:dyDescent="0.25">
      <c r="A8" s="41" t="s">
        <v>132</v>
      </c>
      <c r="B8" s="312" t="s">
        <v>133</v>
      </c>
      <c r="C8" s="312"/>
      <c r="D8" s="312"/>
      <c r="E8" s="312"/>
      <c r="F8" s="4">
        <f>F9+F31+F42+F114+F153+F142</f>
        <v>146629.49855000002</v>
      </c>
      <c r="G8" s="4">
        <f t="shared" ref="G8" si="0">G9+G31+G42+G114+G153+G142</f>
        <v>144317.08355999997</v>
      </c>
      <c r="H8" s="4">
        <f>G8/F8*100</f>
        <v>98.422953762464431</v>
      </c>
    </row>
    <row r="9" spans="1:9" ht="47.25" x14ac:dyDescent="0.25">
      <c r="A9" s="41" t="s">
        <v>590</v>
      </c>
      <c r="B9" s="312" t="s">
        <v>133</v>
      </c>
      <c r="C9" s="312" t="s">
        <v>228</v>
      </c>
      <c r="D9" s="312"/>
      <c r="E9" s="312"/>
      <c r="F9" s="4">
        <f>F10+F23</f>
        <v>4864.3739000000005</v>
      </c>
      <c r="G9" s="4">
        <f t="shared" ref="G9" si="1">G10+G23</f>
        <v>4856.6630000000005</v>
      </c>
      <c r="H9" s="4">
        <f t="shared" ref="H9:H72" si="2">G9/F9*100</f>
        <v>99.841482168959089</v>
      </c>
    </row>
    <row r="10" spans="1:9" ht="31.5" x14ac:dyDescent="0.25">
      <c r="A10" s="318" t="s">
        <v>988</v>
      </c>
      <c r="B10" s="312" t="s">
        <v>133</v>
      </c>
      <c r="C10" s="312" t="s">
        <v>228</v>
      </c>
      <c r="D10" s="312" t="s">
        <v>902</v>
      </c>
      <c r="E10" s="312"/>
      <c r="F10" s="4">
        <f t="shared" ref="F10:G10" si="3">F11</f>
        <v>4849.3739000000005</v>
      </c>
      <c r="G10" s="4">
        <f t="shared" si="3"/>
        <v>4841.6630000000005</v>
      </c>
      <c r="H10" s="4">
        <f t="shared" si="2"/>
        <v>99.840991844328613</v>
      </c>
    </row>
    <row r="11" spans="1:9" ht="31.5" x14ac:dyDescent="0.25">
      <c r="A11" s="318" t="s">
        <v>1132</v>
      </c>
      <c r="B11" s="312" t="s">
        <v>133</v>
      </c>
      <c r="C11" s="312" t="s">
        <v>228</v>
      </c>
      <c r="D11" s="312" t="s">
        <v>1133</v>
      </c>
      <c r="E11" s="312"/>
      <c r="F11" s="4">
        <f>F12+F17+F20</f>
        <v>4849.3739000000005</v>
      </c>
      <c r="G11" s="4">
        <f t="shared" ref="G11" si="4">G12+G17+G20</f>
        <v>4841.6630000000005</v>
      </c>
      <c r="H11" s="4">
        <f t="shared" si="2"/>
        <v>99.840991844328613</v>
      </c>
    </row>
    <row r="12" spans="1:9" ht="31.5" x14ac:dyDescent="0.25">
      <c r="A12" s="323" t="s">
        <v>591</v>
      </c>
      <c r="B12" s="324" t="s">
        <v>133</v>
      </c>
      <c r="C12" s="324" t="s">
        <v>228</v>
      </c>
      <c r="D12" s="324" t="s">
        <v>1134</v>
      </c>
      <c r="E12" s="324"/>
      <c r="F12" s="337">
        <f t="shared" ref="F12" si="5">F13+F15</f>
        <v>4728.4040000000005</v>
      </c>
      <c r="G12" s="337">
        <f t="shared" ref="G12" si="6">G13+G15</f>
        <v>4720.6940000000004</v>
      </c>
      <c r="H12" s="337">
        <f t="shared" si="2"/>
        <v>99.836942866980067</v>
      </c>
    </row>
    <row r="13" spans="1:9" ht="78.75" x14ac:dyDescent="0.25">
      <c r="A13" s="323" t="s">
        <v>142</v>
      </c>
      <c r="B13" s="324" t="s">
        <v>133</v>
      </c>
      <c r="C13" s="324" t="s">
        <v>228</v>
      </c>
      <c r="D13" s="324" t="s">
        <v>1134</v>
      </c>
      <c r="E13" s="324" t="s">
        <v>143</v>
      </c>
      <c r="F13" s="293">
        <f t="shared" ref="F13:G13" si="7">F14</f>
        <v>4728.4040000000005</v>
      </c>
      <c r="G13" s="293">
        <f t="shared" si="7"/>
        <v>4720.6940000000004</v>
      </c>
      <c r="H13" s="337">
        <f t="shared" si="2"/>
        <v>99.836942866980067</v>
      </c>
    </row>
    <row r="14" spans="1:9" ht="31.5" x14ac:dyDescent="0.25">
      <c r="A14" s="323" t="s">
        <v>144</v>
      </c>
      <c r="B14" s="324" t="s">
        <v>133</v>
      </c>
      <c r="C14" s="324" t="s">
        <v>228</v>
      </c>
      <c r="D14" s="324" t="s">
        <v>1134</v>
      </c>
      <c r="E14" s="324" t="s">
        <v>145</v>
      </c>
      <c r="F14" s="293">
        <f>'Пр.4 ведом.20'!G1202</f>
        <v>4728.4040000000005</v>
      </c>
      <c r="G14" s="293">
        <f>'Пр.4 ведом.20'!H1202</f>
        <v>4720.6940000000004</v>
      </c>
      <c r="H14" s="337">
        <f t="shared" si="2"/>
        <v>99.836942866980067</v>
      </c>
    </row>
    <row r="15" spans="1:9" ht="31.5" hidden="1" x14ac:dyDescent="0.25">
      <c r="A15" s="323" t="s">
        <v>146</v>
      </c>
      <c r="B15" s="324" t="s">
        <v>133</v>
      </c>
      <c r="C15" s="324" t="s">
        <v>228</v>
      </c>
      <c r="D15" s="324" t="s">
        <v>1134</v>
      </c>
      <c r="E15" s="324" t="s">
        <v>147</v>
      </c>
      <c r="F15" s="28">
        <f t="shared" ref="F15:G15" si="8">F16</f>
        <v>0</v>
      </c>
      <c r="G15" s="28">
        <f t="shared" si="8"/>
        <v>0</v>
      </c>
      <c r="H15" s="337" t="e">
        <f t="shared" si="2"/>
        <v>#DIV/0!</v>
      </c>
    </row>
    <row r="16" spans="1:9" ht="47.25" hidden="1" x14ac:dyDescent="0.25">
      <c r="A16" s="323" t="s">
        <v>148</v>
      </c>
      <c r="B16" s="324" t="s">
        <v>133</v>
      </c>
      <c r="C16" s="324" t="s">
        <v>228</v>
      </c>
      <c r="D16" s="324" t="s">
        <v>1134</v>
      </c>
      <c r="E16" s="324" t="s">
        <v>149</v>
      </c>
      <c r="F16" s="28">
        <f>'Пр.4 ведом.20'!G1204</f>
        <v>0</v>
      </c>
      <c r="G16" s="28">
        <f>'Пр.4 ведом.20'!H1204</f>
        <v>0</v>
      </c>
      <c r="H16" s="337" t="e">
        <f t="shared" si="2"/>
        <v>#DIV/0!</v>
      </c>
    </row>
    <row r="17" spans="1:8" s="210" customFormat="1" ht="47.25" hidden="1" x14ac:dyDescent="0.25">
      <c r="A17" s="349" t="s">
        <v>883</v>
      </c>
      <c r="B17" s="324" t="s">
        <v>133</v>
      </c>
      <c r="C17" s="324" t="s">
        <v>228</v>
      </c>
      <c r="D17" s="324" t="s">
        <v>1135</v>
      </c>
      <c r="E17" s="324"/>
      <c r="F17" s="28">
        <f>F18</f>
        <v>0</v>
      </c>
      <c r="G17" s="28">
        <f t="shared" ref="G17:G18" si="9">G18</f>
        <v>0</v>
      </c>
      <c r="H17" s="337" t="e">
        <f t="shared" si="2"/>
        <v>#DIV/0!</v>
      </c>
    </row>
    <row r="18" spans="1:8" s="210" customFormat="1" ht="78.75" hidden="1" x14ac:dyDescent="0.25">
      <c r="A18" s="349" t="s">
        <v>142</v>
      </c>
      <c r="B18" s="324" t="s">
        <v>133</v>
      </c>
      <c r="C18" s="324" t="s">
        <v>228</v>
      </c>
      <c r="D18" s="324" t="s">
        <v>1135</v>
      </c>
      <c r="E18" s="324" t="s">
        <v>143</v>
      </c>
      <c r="F18" s="28">
        <f>F19</f>
        <v>0</v>
      </c>
      <c r="G18" s="28">
        <f t="shared" si="9"/>
        <v>0</v>
      </c>
      <c r="H18" s="337" t="e">
        <f t="shared" si="2"/>
        <v>#DIV/0!</v>
      </c>
    </row>
    <row r="19" spans="1:8" s="210" customFormat="1" ht="31.5" hidden="1" x14ac:dyDescent="0.25">
      <c r="A19" s="349" t="s">
        <v>144</v>
      </c>
      <c r="B19" s="324" t="s">
        <v>133</v>
      </c>
      <c r="C19" s="324" t="s">
        <v>228</v>
      </c>
      <c r="D19" s="324" t="s">
        <v>1135</v>
      </c>
      <c r="E19" s="324" t="s">
        <v>145</v>
      </c>
      <c r="F19" s="28">
        <f>'Пр.4 ведом.20'!G1207</f>
        <v>0</v>
      </c>
      <c r="G19" s="28">
        <f>'Пр.4 ведом.20'!H1207</f>
        <v>0</v>
      </c>
      <c r="H19" s="337" t="e">
        <f t="shared" si="2"/>
        <v>#DIV/0!</v>
      </c>
    </row>
    <row r="20" spans="1:8" s="345" customFormat="1" ht="31.5" x14ac:dyDescent="0.25">
      <c r="A20" s="349" t="s">
        <v>1582</v>
      </c>
      <c r="B20" s="347" t="s">
        <v>133</v>
      </c>
      <c r="C20" s="347" t="s">
        <v>228</v>
      </c>
      <c r="D20" s="347" t="s">
        <v>1586</v>
      </c>
      <c r="E20" s="347"/>
      <c r="F20" s="28">
        <f>F21</f>
        <v>120.9699</v>
      </c>
      <c r="G20" s="28">
        <f t="shared" ref="G20:G21" si="10">G21</f>
        <v>120.96899999999999</v>
      </c>
      <c r="H20" s="337">
        <f t="shared" si="2"/>
        <v>99.999256013272714</v>
      </c>
    </row>
    <row r="21" spans="1:8" s="345" customFormat="1" ht="78.75" x14ac:dyDescent="0.25">
      <c r="A21" s="349" t="s">
        <v>142</v>
      </c>
      <c r="B21" s="347" t="s">
        <v>133</v>
      </c>
      <c r="C21" s="347" t="s">
        <v>228</v>
      </c>
      <c r="D21" s="347" t="s">
        <v>1586</v>
      </c>
      <c r="E21" s="347" t="s">
        <v>143</v>
      </c>
      <c r="F21" s="28">
        <f>F22</f>
        <v>120.9699</v>
      </c>
      <c r="G21" s="28">
        <f t="shared" si="10"/>
        <v>120.96899999999999</v>
      </c>
      <c r="H21" s="337">
        <f t="shared" si="2"/>
        <v>99.999256013272714</v>
      </c>
    </row>
    <row r="22" spans="1:8" s="345" customFormat="1" ht="31.5" x14ac:dyDescent="0.25">
      <c r="A22" s="349" t="s">
        <v>144</v>
      </c>
      <c r="B22" s="347" t="s">
        <v>133</v>
      </c>
      <c r="C22" s="347" t="s">
        <v>228</v>
      </c>
      <c r="D22" s="347" t="s">
        <v>1586</v>
      </c>
      <c r="E22" s="347" t="s">
        <v>145</v>
      </c>
      <c r="F22" s="28">
        <f>'Пр.4 ведом.20'!G1210</f>
        <v>120.9699</v>
      </c>
      <c r="G22" s="28">
        <f>'Пр.4 ведом.20'!H1210</f>
        <v>120.96899999999999</v>
      </c>
      <c r="H22" s="337">
        <f t="shared" si="2"/>
        <v>99.999256013272714</v>
      </c>
    </row>
    <row r="23" spans="1:8" s="210" customFormat="1" ht="47.25" x14ac:dyDescent="0.25">
      <c r="A23" s="318" t="s">
        <v>818</v>
      </c>
      <c r="B23" s="319" t="s">
        <v>133</v>
      </c>
      <c r="C23" s="312" t="s">
        <v>228</v>
      </c>
      <c r="D23" s="319" t="s">
        <v>177</v>
      </c>
      <c r="E23" s="312"/>
      <c r="F23" s="294">
        <f>F24</f>
        <v>15</v>
      </c>
      <c r="G23" s="294">
        <f t="shared" ref="G23" si="11">G24</f>
        <v>15</v>
      </c>
      <c r="H23" s="4">
        <f t="shared" si="2"/>
        <v>100</v>
      </c>
    </row>
    <row r="24" spans="1:8" s="210" customFormat="1" ht="63" x14ac:dyDescent="0.25">
      <c r="A24" s="225" t="s">
        <v>887</v>
      </c>
      <c r="B24" s="319" t="s">
        <v>133</v>
      </c>
      <c r="C24" s="312" t="s">
        <v>228</v>
      </c>
      <c r="D24" s="312" t="s">
        <v>894</v>
      </c>
      <c r="E24" s="312"/>
      <c r="F24" s="294">
        <f>F25+F28</f>
        <v>15</v>
      </c>
      <c r="G24" s="294">
        <f t="shared" ref="G24" si="12">G25+G28</f>
        <v>15</v>
      </c>
      <c r="H24" s="4">
        <f t="shared" si="2"/>
        <v>100</v>
      </c>
    </row>
    <row r="25" spans="1:8" s="210" customFormat="1" ht="47.25" x14ac:dyDescent="0.25">
      <c r="A25" s="31" t="s">
        <v>710</v>
      </c>
      <c r="B25" s="347" t="s">
        <v>133</v>
      </c>
      <c r="C25" s="347" t="s">
        <v>228</v>
      </c>
      <c r="D25" s="324" t="s">
        <v>1140</v>
      </c>
      <c r="E25" s="347"/>
      <c r="F25" s="337">
        <f>F26</f>
        <v>1</v>
      </c>
      <c r="G25" s="337">
        <f t="shared" ref="G25:G26" si="13">G26</f>
        <v>1</v>
      </c>
      <c r="H25" s="337">
        <f t="shared" si="2"/>
        <v>100</v>
      </c>
    </row>
    <row r="26" spans="1:8" s="210" customFormat="1" ht="31.5" x14ac:dyDescent="0.25">
      <c r="A26" s="349" t="s">
        <v>146</v>
      </c>
      <c r="B26" s="347" t="s">
        <v>133</v>
      </c>
      <c r="C26" s="347" t="s">
        <v>228</v>
      </c>
      <c r="D26" s="324" t="s">
        <v>1140</v>
      </c>
      <c r="E26" s="347" t="s">
        <v>147</v>
      </c>
      <c r="F26" s="337">
        <f>F27</f>
        <v>1</v>
      </c>
      <c r="G26" s="337">
        <f t="shared" si="13"/>
        <v>1</v>
      </c>
      <c r="H26" s="337">
        <f t="shared" si="2"/>
        <v>100</v>
      </c>
    </row>
    <row r="27" spans="1:8" s="210" customFormat="1" ht="47.25" x14ac:dyDescent="0.25">
      <c r="A27" s="349" t="s">
        <v>148</v>
      </c>
      <c r="B27" s="347" t="s">
        <v>133</v>
      </c>
      <c r="C27" s="347" t="s">
        <v>228</v>
      </c>
      <c r="D27" s="324" t="s">
        <v>711</v>
      </c>
      <c r="E27" s="347" t="s">
        <v>149</v>
      </c>
      <c r="F27" s="337">
        <f>'Пр.4 ведом.20'!G1215</f>
        <v>1</v>
      </c>
      <c r="G27" s="337">
        <f>'Пр.4 ведом.20'!H1215</f>
        <v>1</v>
      </c>
      <c r="H27" s="337">
        <f t="shared" si="2"/>
        <v>100</v>
      </c>
    </row>
    <row r="28" spans="1:8" s="210" customFormat="1" ht="47.25" x14ac:dyDescent="0.25">
      <c r="A28" s="31" t="s">
        <v>710</v>
      </c>
      <c r="B28" s="347" t="s">
        <v>133</v>
      </c>
      <c r="C28" s="347" t="s">
        <v>228</v>
      </c>
      <c r="D28" s="347" t="s">
        <v>1139</v>
      </c>
      <c r="E28" s="347"/>
      <c r="F28" s="337">
        <f>F29</f>
        <v>14</v>
      </c>
      <c r="G28" s="337">
        <f t="shared" ref="G28:G29" si="14">G29</f>
        <v>14</v>
      </c>
      <c r="H28" s="337">
        <f t="shared" si="2"/>
        <v>100</v>
      </c>
    </row>
    <row r="29" spans="1:8" s="210" customFormat="1" ht="31.5" x14ac:dyDescent="0.25">
      <c r="A29" s="349" t="s">
        <v>146</v>
      </c>
      <c r="B29" s="347" t="s">
        <v>133</v>
      </c>
      <c r="C29" s="347" t="s">
        <v>228</v>
      </c>
      <c r="D29" s="347" t="s">
        <v>1139</v>
      </c>
      <c r="E29" s="347" t="s">
        <v>147</v>
      </c>
      <c r="F29" s="337">
        <f>F30</f>
        <v>14</v>
      </c>
      <c r="G29" s="337">
        <f t="shared" si="14"/>
        <v>14</v>
      </c>
      <c r="H29" s="337">
        <f t="shared" si="2"/>
        <v>100</v>
      </c>
    </row>
    <row r="30" spans="1:8" s="210" customFormat="1" ht="47.25" x14ac:dyDescent="0.25">
      <c r="A30" s="349" t="s">
        <v>148</v>
      </c>
      <c r="B30" s="347" t="s">
        <v>133</v>
      </c>
      <c r="C30" s="347" t="s">
        <v>228</v>
      </c>
      <c r="D30" s="347" t="s">
        <v>1139</v>
      </c>
      <c r="E30" s="347" t="s">
        <v>149</v>
      </c>
      <c r="F30" s="337">
        <f>'Пр.4 ведом.20'!G1218</f>
        <v>14</v>
      </c>
      <c r="G30" s="337">
        <f>'Пр.4 ведом.20'!H1218</f>
        <v>14</v>
      </c>
      <c r="H30" s="337">
        <f t="shared" si="2"/>
        <v>100</v>
      </c>
    </row>
    <row r="31" spans="1:8" ht="63" x14ac:dyDescent="0.25">
      <c r="A31" s="41" t="s">
        <v>593</v>
      </c>
      <c r="B31" s="312" t="s">
        <v>133</v>
      </c>
      <c r="C31" s="312" t="s">
        <v>230</v>
      </c>
      <c r="D31" s="312"/>
      <c r="E31" s="312"/>
      <c r="F31" s="4">
        <f t="shared" ref="F31:G32" si="15">F32</f>
        <v>1278.896</v>
      </c>
      <c r="G31" s="4">
        <f t="shared" si="15"/>
        <v>1278.1580000000001</v>
      </c>
      <c r="H31" s="4">
        <f t="shared" si="2"/>
        <v>99.942293978556521</v>
      </c>
    </row>
    <row r="32" spans="1:8" ht="31.5" x14ac:dyDescent="0.25">
      <c r="A32" s="318" t="s">
        <v>988</v>
      </c>
      <c r="B32" s="312" t="s">
        <v>133</v>
      </c>
      <c r="C32" s="312" t="s">
        <v>230</v>
      </c>
      <c r="D32" s="312" t="s">
        <v>902</v>
      </c>
      <c r="E32" s="312"/>
      <c r="F32" s="4">
        <f t="shared" si="15"/>
        <v>1278.896</v>
      </c>
      <c r="G32" s="4">
        <f t="shared" si="15"/>
        <v>1278.1580000000001</v>
      </c>
      <c r="H32" s="4">
        <f t="shared" si="2"/>
        <v>99.942293978556521</v>
      </c>
    </row>
    <row r="33" spans="1:8" ht="31.5" x14ac:dyDescent="0.25">
      <c r="A33" s="318" t="s">
        <v>1132</v>
      </c>
      <c r="B33" s="312" t="s">
        <v>133</v>
      </c>
      <c r="C33" s="312" t="s">
        <v>230</v>
      </c>
      <c r="D33" s="312" t="s">
        <v>1133</v>
      </c>
      <c r="E33" s="312"/>
      <c r="F33" s="4">
        <f>F34+F39</f>
        <v>1278.896</v>
      </c>
      <c r="G33" s="4">
        <f t="shared" ref="G33" si="16">G34+G39</f>
        <v>1278.1580000000001</v>
      </c>
      <c r="H33" s="4">
        <f t="shared" si="2"/>
        <v>99.942293978556521</v>
      </c>
    </row>
    <row r="34" spans="1:8" ht="31.5" x14ac:dyDescent="0.25">
      <c r="A34" s="349" t="s">
        <v>1136</v>
      </c>
      <c r="B34" s="324" t="s">
        <v>133</v>
      </c>
      <c r="C34" s="324" t="s">
        <v>230</v>
      </c>
      <c r="D34" s="324" t="s">
        <v>1137</v>
      </c>
      <c r="E34" s="324"/>
      <c r="F34" s="337">
        <f t="shared" ref="F34" si="17">F35+F37</f>
        <v>1278.896</v>
      </c>
      <c r="G34" s="337">
        <f t="shared" ref="G34" si="18">G35+G37</f>
        <v>1278.1580000000001</v>
      </c>
      <c r="H34" s="337">
        <f t="shared" si="2"/>
        <v>99.942293978556521</v>
      </c>
    </row>
    <row r="35" spans="1:8" ht="78.75" x14ac:dyDescent="0.25">
      <c r="A35" s="323" t="s">
        <v>142</v>
      </c>
      <c r="B35" s="324" t="s">
        <v>133</v>
      </c>
      <c r="C35" s="324" t="s">
        <v>230</v>
      </c>
      <c r="D35" s="324" t="s">
        <v>1137</v>
      </c>
      <c r="E35" s="324" t="s">
        <v>143</v>
      </c>
      <c r="F35" s="293">
        <f t="shared" ref="F35:G35" si="19">F36</f>
        <v>1200</v>
      </c>
      <c r="G35" s="293">
        <f t="shared" si="19"/>
        <v>1199.2615000000001</v>
      </c>
      <c r="H35" s="337">
        <f t="shared" si="2"/>
        <v>99.93845833333333</v>
      </c>
    </row>
    <row r="36" spans="1:8" ht="31.5" x14ac:dyDescent="0.25">
      <c r="A36" s="323" t="s">
        <v>144</v>
      </c>
      <c r="B36" s="324" t="s">
        <v>133</v>
      </c>
      <c r="C36" s="324" t="s">
        <v>230</v>
      </c>
      <c r="D36" s="324" t="s">
        <v>1137</v>
      </c>
      <c r="E36" s="324" t="s">
        <v>145</v>
      </c>
      <c r="F36" s="293">
        <f>'Пр.4 ведом.20'!G1224</f>
        <v>1200</v>
      </c>
      <c r="G36" s="293">
        <f>'Пр.4 ведом.20'!H1224</f>
        <v>1199.2615000000001</v>
      </c>
      <c r="H36" s="337">
        <f t="shared" si="2"/>
        <v>99.93845833333333</v>
      </c>
    </row>
    <row r="37" spans="1:8" ht="31.5" x14ac:dyDescent="0.25">
      <c r="A37" s="323" t="s">
        <v>146</v>
      </c>
      <c r="B37" s="324" t="s">
        <v>133</v>
      </c>
      <c r="C37" s="324" t="s">
        <v>230</v>
      </c>
      <c r="D37" s="324" t="s">
        <v>1137</v>
      </c>
      <c r="E37" s="324" t="s">
        <v>147</v>
      </c>
      <c r="F37" s="337">
        <f t="shared" ref="F37:G37" si="20">F38</f>
        <v>78.896000000000001</v>
      </c>
      <c r="G37" s="337">
        <f t="shared" si="20"/>
        <v>78.896500000000003</v>
      </c>
      <c r="H37" s="337">
        <f t="shared" si="2"/>
        <v>100.00063374569052</v>
      </c>
    </row>
    <row r="38" spans="1:8" ht="47.25" x14ac:dyDescent="0.25">
      <c r="A38" s="323" t="s">
        <v>148</v>
      </c>
      <c r="B38" s="324" t="s">
        <v>133</v>
      </c>
      <c r="C38" s="324" t="s">
        <v>230</v>
      </c>
      <c r="D38" s="324" t="s">
        <v>1137</v>
      </c>
      <c r="E38" s="324" t="s">
        <v>149</v>
      </c>
      <c r="F38" s="337">
        <f>'Пр.4 ведом.20'!G1226</f>
        <v>78.896000000000001</v>
      </c>
      <c r="G38" s="337">
        <f>'Пр.4 ведом.20'!H1226</f>
        <v>78.896500000000003</v>
      </c>
      <c r="H38" s="337">
        <f t="shared" si="2"/>
        <v>100.00063374569052</v>
      </c>
    </row>
    <row r="39" spans="1:8" s="210" customFormat="1" ht="30.2" hidden="1" customHeight="1" x14ac:dyDescent="0.25">
      <c r="A39" s="349" t="s">
        <v>883</v>
      </c>
      <c r="B39" s="324" t="s">
        <v>133</v>
      </c>
      <c r="C39" s="324" t="s">
        <v>230</v>
      </c>
      <c r="D39" s="324" t="s">
        <v>1135</v>
      </c>
      <c r="E39" s="324"/>
      <c r="F39" s="28">
        <f>F40</f>
        <v>0</v>
      </c>
      <c r="G39" s="28">
        <f t="shared" ref="G39:G40" si="21">G40</f>
        <v>0</v>
      </c>
      <c r="H39" s="337" t="e">
        <f t="shared" si="2"/>
        <v>#DIV/0!</v>
      </c>
    </row>
    <row r="40" spans="1:8" s="210" customFormat="1" ht="85.7" hidden="1" customHeight="1" x14ac:dyDescent="0.25">
      <c r="A40" s="349" t="s">
        <v>142</v>
      </c>
      <c r="B40" s="324" t="s">
        <v>133</v>
      </c>
      <c r="C40" s="324" t="s">
        <v>230</v>
      </c>
      <c r="D40" s="324" t="s">
        <v>1135</v>
      </c>
      <c r="E40" s="324" t="s">
        <v>143</v>
      </c>
      <c r="F40" s="28">
        <f>F41</f>
        <v>0</v>
      </c>
      <c r="G40" s="28">
        <f t="shared" si="21"/>
        <v>0</v>
      </c>
      <c r="H40" s="337" t="e">
        <f t="shared" si="2"/>
        <v>#DIV/0!</v>
      </c>
    </row>
    <row r="41" spans="1:8" s="210" customFormat="1" ht="38.25" hidden="1" customHeight="1" x14ac:dyDescent="0.25">
      <c r="A41" s="349" t="s">
        <v>144</v>
      </c>
      <c r="B41" s="324" t="s">
        <v>133</v>
      </c>
      <c r="C41" s="324" t="s">
        <v>230</v>
      </c>
      <c r="D41" s="324" t="s">
        <v>1135</v>
      </c>
      <c r="E41" s="324" t="s">
        <v>145</v>
      </c>
      <c r="F41" s="28">
        <f>'Пр.4 ведом.20'!G1229</f>
        <v>0</v>
      </c>
      <c r="G41" s="28">
        <f>'Пр.4 ведом.20'!H1229</f>
        <v>0</v>
      </c>
      <c r="H41" s="337" t="e">
        <f t="shared" si="2"/>
        <v>#DIV/0!</v>
      </c>
    </row>
    <row r="42" spans="1:8" ht="70.5" customHeight="1" x14ac:dyDescent="0.25">
      <c r="A42" s="41" t="s">
        <v>164</v>
      </c>
      <c r="B42" s="312" t="s">
        <v>133</v>
      </c>
      <c r="C42" s="312" t="s">
        <v>165</v>
      </c>
      <c r="D42" s="312"/>
      <c r="E42" s="312"/>
      <c r="F42" s="4">
        <f>F43+F96</f>
        <v>71211.148200000011</v>
      </c>
      <c r="G42" s="4">
        <f t="shared" ref="G42" si="22">G43+G96</f>
        <v>69702.362429999994</v>
      </c>
      <c r="H42" s="4">
        <f t="shared" si="2"/>
        <v>97.881250607331154</v>
      </c>
    </row>
    <row r="43" spans="1:8" ht="31.5" x14ac:dyDescent="0.25">
      <c r="A43" s="318" t="s">
        <v>988</v>
      </c>
      <c r="B43" s="312" t="s">
        <v>133</v>
      </c>
      <c r="C43" s="312" t="s">
        <v>165</v>
      </c>
      <c r="D43" s="312" t="s">
        <v>902</v>
      </c>
      <c r="E43" s="312"/>
      <c r="F43" s="4">
        <f>F44+F63</f>
        <v>70633.148200000011</v>
      </c>
      <c r="G43" s="4">
        <f t="shared" ref="G43" si="23">G44+G63</f>
        <v>69136.868889999998</v>
      </c>
      <c r="H43" s="4">
        <f t="shared" si="2"/>
        <v>97.881618831765437</v>
      </c>
    </row>
    <row r="44" spans="1:8" ht="15.75" x14ac:dyDescent="0.25">
      <c r="A44" s="318" t="s">
        <v>989</v>
      </c>
      <c r="B44" s="312" t="s">
        <v>133</v>
      </c>
      <c r="C44" s="312" t="s">
        <v>165</v>
      </c>
      <c r="D44" s="312" t="s">
        <v>903</v>
      </c>
      <c r="E44" s="312"/>
      <c r="F44" s="4">
        <f>F45+F54+F57+F62</f>
        <v>67160.158200000005</v>
      </c>
      <c r="G44" s="4">
        <f t="shared" ref="G44" si="24">G45+G54+G57+G62</f>
        <v>65846.799780000001</v>
      </c>
      <c r="H44" s="4">
        <f t="shared" si="2"/>
        <v>98.04443816810425</v>
      </c>
    </row>
    <row r="45" spans="1:8" ht="31.5" x14ac:dyDescent="0.25">
      <c r="A45" s="323" t="s">
        <v>965</v>
      </c>
      <c r="B45" s="324" t="s">
        <v>133</v>
      </c>
      <c r="C45" s="324" t="s">
        <v>165</v>
      </c>
      <c r="D45" s="324" t="s">
        <v>904</v>
      </c>
      <c r="E45" s="324"/>
      <c r="F45" s="337">
        <f>F46+F48+F52+F50</f>
        <v>62285.904999999999</v>
      </c>
      <c r="G45" s="337">
        <f t="shared" ref="G45" si="25">G46+G48+G52+G50</f>
        <v>61008.681490000003</v>
      </c>
      <c r="H45" s="337">
        <f t="shared" si="2"/>
        <v>97.949418074602917</v>
      </c>
    </row>
    <row r="46" spans="1:8" ht="78.75" x14ac:dyDescent="0.25">
      <c r="A46" s="323" t="s">
        <v>142</v>
      </c>
      <c r="B46" s="324" t="s">
        <v>133</v>
      </c>
      <c r="C46" s="324" t="s">
        <v>165</v>
      </c>
      <c r="D46" s="324" t="s">
        <v>904</v>
      </c>
      <c r="E46" s="324" t="s">
        <v>143</v>
      </c>
      <c r="F46" s="293">
        <f t="shared" ref="F46:G46" si="26">F47</f>
        <v>54793.794999999998</v>
      </c>
      <c r="G46" s="293">
        <f t="shared" si="26"/>
        <v>54524.21948</v>
      </c>
      <c r="H46" s="337">
        <f t="shared" si="2"/>
        <v>99.508018161545493</v>
      </c>
    </row>
    <row r="47" spans="1:8" ht="31.5" x14ac:dyDescent="0.25">
      <c r="A47" s="323" t="s">
        <v>144</v>
      </c>
      <c r="B47" s="324" t="s">
        <v>133</v>
      </c>
      <c r="C47" s="324" t="s">
        <v>165</v>
      </c>
      <c r="D47" s="324" t="s">
        <v>904</v>
      </c>
      <c r="E47" s="324" t="s">
        <v>145</v>
      </c>
      <c r="F47" s="293">
        <f>'Пр.4 ведом.20'!G529+'Пр.4 ведом.20'!G34</f>
        <v>54793.794999999998</v>
      </c>
      <c r="G47" s="293">
        <f>'Пр.4 ведом.20'!H529+'Пр.4 ведом.20'!H34</f>
        <v>54524.21948</v>
      </c>
      <c r="H47" s="337">
        <f t="shared" si="2"/>
        <v>99.508018161545493</v>
      </c>
    </row>
    <row r="48" spans="1:8" ht="31.5" x14ac:dyDescent="0.25">
      <c r="A48" s="323" t="s">
        <v>146</v>
      </c>
      <c r="B48" s="324" t="s">
        <v>133</v>
      </c>
      <c r="C48" s="324" t="s">
        <v>165</v>
      </c>
      <c r="D48" s="324" t="s">
        <v>904</v>
      </c>
      <c r="E48" s="324" t="s">
        <v>147</v>
      </c>
      <c r="F48" s="337">
        <f t="shared" ref="F48:G48" si="27">F49</f>
        <v>7220.1100000000006</v>
      </c>
      <c r="G48" s="337">
        <f t="shared" si="27"/>
        <v>6214.3900100000001</v>
      </c>
      <c r="H48" s="337">
        <f t="shared" si="2"/>
        <v>86.070572470502526</v>
      </c>
    </row>
    <row r="49" spans="1:8" ht="47.25" x14ac:dyDescent="0.25">
      <c r="A49" s="323" t="s">
        <v>148</v>
      </c>
      <c r="B49" s="324" t="s">
        <v>133</v>
      </c>
      <c r="C49" s="324" t="s">
        <v>165</v>
      </c>
      <c r="D49" s="324" t="s">
        <v>904</v>
      </c>
      <c r="E49" s="324" t="s">
        <v>149</v>
      </c>
      <c r="F49" s="337">
        <f>'Пр.4 ведом.20'!G36+'Пр.4 ведом.20'!G531</f>
        <v>7220.1100000000006</v>
      </c>
      <c r="G49" s="337">
        <f>'Пр.4 ведом.20'!H36+'Пр.4 ведом.20'!H531</f>
        <v>6214.3900100000001</v>
      </c>
      <c r="H49" s="337">
        <f t="shared" si="2"/>
        <v>86.070572470502526</v>
      </c>
    </row>
    <row r="50" spans="1:8" s="210" customFormat="1" ht="21.2" hidden="1" customHeight="1" x14ac:dyDescent="0.25">
      <c r="A50" s="349" t="s">
        <v>263</v>
      </c>
      <c r="B50" s="324" t="s">
        <v>133</v>
      </c>
      <c r="C50" s="324" t="s">
        <v>165</v>
      </c>
      <c r="D50" s="324" t="s">
        <v>904</v>
      </c>
      <c r="E50" s="324" t="s">
        <v>264</v>
      </c>
      <c r="F50" s="337">
        <f>F51</f>
        <v>0</v>
      </c>
      <c r="G50" s="337">
        <f t="shared" ref="G50" si="28">G51</f>
        <v>0</v>
      </c>
      <c r="H50" s="337" t="e">
        <f t="shared" si="2"/>
        <v>#DIV/0!</v>
      </c>
    </row>
    <row r="51" spans="1:8" s="210" customFormat="1" ht="31.5" hidden="1" x14ac:dyDescent="0.25">
      <c r="A51" s="349" t="s">
        <v>265</v>
      </c>
      <c r="B51" s="324" t="s">
        <v>133</v>
      </c>
      <c r="C51" s="324" t="s">
        <v>165</v>
      </c>
      <c r="D51" s="324" t="s">
        <v>904</v>
      </c>
      <c r="E51" s="324" t="s">
        <v>266</v>
      </c>
      <c r="F51" s="337">
        <f>'Пр.4 ведом.20'!G38</f>
        <v>0</v>
      </c>
      <c r="G51" s="337">
        <f>'Пр.4 ведом.20'!H38</f>
        <v>0</v>
      </c>
      <c r="H51" s="337" t="e">
        <f t="shared" si="2"/>
        <v>#DIV/0!</v>
      </c>
    </row>
    <row r="52" spans="1:8" ht="15.75" x14ac:dyDescent="0.25">
      <c r="A52" s="323" t="s">
        <v>150</v>
      </c>
      <c r="B52" s="324" t="s">
        <v>133</v>
      </c>
      <c r="C52" s="324" t="s">
        <v>165</v>
      </c>
      <c r="D52" s="324" t="s">
        <v>904</v>
      </c>
      <c r="E52" s="324" t="s">
        <v>160</v>
      </c>
      <c r="F52" s="337">
        <f t="shared" ref="F52:G52" si="29">F53</f>
        <v>272</v>
      </c>
      <c r="G52" s="337">
        <f t="shared" si="29"/>
        <v>270.072</v>
      </c>
      <c r="H52" s="337">
        <f t="shared" si="2"/>
        <v>99.29117647058824</v>
      </c>
    </row>
    <row r="53" spans="1:8" ht="15.75" x14ac:dyDescent="0.25">
      <c r="A53" s="323" t="s">
        <v>583</v>
      </c>
      <c r="B53" s="324" t="s">
        <v>133</v>
      </c>
      <c r="C53" s="324" t="s">
        <v>165</v>
      </c>
      <c r="D53" s="324" t="s">
        <v>904</v>
      </c>
      <c r="E53" s="324" t="s">
        <v>153</v>
      </c>
      <c r="F53" s="337">
        <f>'Пр.4 ведом.20'!G533+'Пр.4 ведом.20'!G40</f>
        <v>272</v>
      </c>
      <c r="G53" s="337">
        <f>'Пр.4 ведом.20'!H533+'Пр.4 ведом.20'!H40</f>
        <v>270.072</v>
      </c>
      <c r="H53" s="337">
        <f t="shared" si="2"/>
        <v>99.29117647058824</v>
      </c>
    </row>
    <row r="54" spans="1:8" ht="31.5" x14ac:dyDescent="0.25">
      <c r="A54" s="349" t="s">
        <v>168</v>
      </c>
      <c r="B54" s="347" t="s">
        <v>133</v>
      </c>
      <c r="C54" s="347" t="s">
        <v>165</v>
      </c>
      <c r="D54" s="324" t="s">
        <v>905</v>
      </c>
      <c r="E54" s="347"/>
      <c r="F54" s="293">
        <f>F55</f>
        <v>2483.9</v>
      </c>
      <c r="G54" s="293">
        <f t="shared" ref="G54:G55" si="30">G55</f>
        <v>2483.8137000000002</v>
      </c>
      <c r="H54" s="337">
        <f t="shared" si="2"/>
        <v>99.996525625025171</v>
      </c>
    </row>
    <row r="55" spans="1:8" ht="78.75" x14ac:dyDescent="0.25">
      <c r="A55" s="349" t="s">
        <v>142</v>
      </c>
      <c r="B55" s="347" t="s">
        <v>133</v>
      </c>
      <c r="C55" s="347" t="s">
        <v>165</v>
      </c>
      <c r="D55" s="324" t="s">
        <v>905</v>
      </c>
      <c r="E55" s="347" t="s">
        <v>143</v>
      </c>
      <c r="F55" s="293">
        <f>F56</f>
        <v>2483.9</v>
      </c>
      <c r="G55" s="293">
        <f t="shared" si="30"/>
        <v>2483.8137000000002</v>
      </c>
      <c r="H55" s="337">
        <f t="shared" si="2"/>
        <v>99.996525625025171</v>
      </c>
    </row>
    <row r="56" spans="1:8" ht="31.5" x14ac:dyDescent="0.25">
      <c r="A56" s="349" t="s">
        <v>144</v>
      </c>
      <c r="B56" s="347" t="s">
        <v>133</v>
      </c>
      <c r="C56" s="347" t="s">
        <v>165</v>
      </c>
      <c r="D56" s="324" t="s">
        <v>905</v>
      </c>
      <c r="E56" s="347" t="s">
        <v>145</v>
      </c>
      <c r="F56" s="293">
        <f>'Пр.4 ведом.20'!G43</f>
        <v>2483.9</v>
      </c>
      <c r="G56" s="293">
        <f>'Пр.4 ведом.20'!H43</f>
        <v>2483.8137000000002</v>
      </c>
      <c r="H56" s="337">
        <f t="shared" si="2"/>
        <v>99.996525625025171</v>
      </c>
    </row>
    <row r="57" spans="1:8" s="210" customFormat="1" ht="47.25" x14ac:dyDescent="0.25">
      <c r="A57" s="349" t="s">
        <v>883</v>
      </c>
      <c r="B57" s="324" t="s">
        <v>133</v>
      </c>
      <c r="C57" s="347" t="s">
        <v>165</v>
      </c>
      <c r="D57" s="324" t="s">
        <v>906</v>
      </c>
      <c r="E57" s="324"/>
      <c r="F57" s="28">
        <f>F58</f>
        <v>1859.7</v>
      </c>
      <c r="G57" s="28">
        <f t="shared" ref="G57:G58" si="31">G58</f>
        <v>1823.65139</v>
      </c>
      <c r="H57" s="337">
        <f t="shared" si="2"/>
        <v>98.061590041404529</v>
      </c>
    </row>
    <row r="58" spans="1:8" s="210" customFormat="1" ht="78.75" x14ac:dyDescent="0.25">
      <c r="A58" s="349" t="s">
        <v>142</v>
      </c>
      <c r="B58" s="324" t="s">
        <v>133</v>
      </c>
      <c r="C58" s="347" t="s">
        <v>165</v>
      </c>
      <c r="D58" s="324" t="s">
        <v>906</v>
      </c>
      <c r="E58" s="324" t="s">
        <v>143</v>
      </c>
      <c r="F58" s="28">
        <f>F59</f>
        <v>1859.7</v>
      </c>
      <c r="G58" s="28">
        <f t="shared" si="31"/>
        <v>1823.65139</v>
      </c>
      <c r="H58" s="337">
        <f t="shared" si="2"/>
        <v>98.061590041404529</v>
      </c>
    </row>
    <row r="59" spans="1:8" s="210" customFormat="1" ht="31.5" x14ac:dyDescent="0.25">
      <c r="A59" s="349" t="s">
        <v>144</v>
      </c>
      <c r="B59" s="324" t="s">
        <v>133</v>
      </c>
      <c r="C59" s="347" t="s">
        <v>165</v>
      </c>
      <c r="D59" s="324" t="s">
        <v>906</v>
      </c>
      <c r="E59" s="324" t="s">
        <v>145</v>
      </c>
      <c r="F59" s="28">
        <f>'Пр.4 ведом.20'!G536+'Пр.4 ведом.20'!G46</f>
        <v>1859.7</v>
      </c>
      <c r="G59" s="28">
        <f>'Пр.4 ведом.20'!H536+'Пр.4 ведом.20'!H46</f>
        <v>1823.65139</v>
      </c>
      <c r="H59" s="337">
        <f t="shared" si="2"/>
        <v>98.061590041404529</v>
      </c>
    </row>
    <row r="60" spans="1:8" s="345" customFormat="1" ht="31.5" x14ac:dyDescent="0.25">
      <c r="A60" s="349" t="s">
        <v>1582</v>
      </c>
      <c r="B60" s="324" t="s">
        <v>133</v>
      </c>
      <c r="C60" s="347" t="s">
        <v>165</v>
      </c>
      <c r="D60" s="347" t="s">
        <v>1584</v>
      </c>
      <c r="E60" s="324"/>
      <c r="F60" s="28">
        <f>F61</f>
        <v>530.65319999999997</v>
      </c>
      <c r="G60" s="28">
        <f t="shared" ref="G60:G61" si="32">G61</f>
        <v>530.65319999999997</v>
      </c>
      <c r="H60" s="337">
        <f t="shared" si="2"/>
        <v>100</v>
      </c>
    </row>
    <row r="61" spans="1:8" s="345" customFormat="1" ht="78.75" x14ac:dyDescent="0.25">
      <c r="A61" s="349" t="s">
        <v>142</v>
      </c>
      <c r="B61" s="324" t="s">
        <v>133</v>
      </c>
      <c r="C61" s="347" t="s">
        <v>165</v>
      </c>
      <c r="D61" s="347" t="s">
        <v>1584</v>
      </c>
      <c r="E61" s="324" t="s">
        <v>143</v>
      </c>
      <c r="F61" s="28">
        <f>F62</f>
        <v>530.65319999999997</v>
      </c>
      <c r="G61" s="28">
        <f t="shared" si="32"/>
        <v>530.65319999999997</v>
      </c>
      <c r="H61" s="337">
        <f t="shared" si="2"/>
        <v>100</v>
      </c>
    </row>
    <row r="62" spans="1:8" s="345" customFormat="1" ht="31.5" x14ac:dyDescent="0.25">
      <c r="A62" s="349" t="s">
        <v>144</v>
      </c>
      <c r="B62" s="324" t="s">
        <v>133</v>
      </c>
      <c r="C62" s="347" t="s">
        <v>165</v>
      </c>
      <c r="D62" s="347" t="s">
        <v>1584</v>
      </c>
      <c r="E62" s="324" t="s">
        <v>145</v>
      </c>
      <c r="F62" s="28">
        <f>'Пр.4 ведом.20'!G49+'Пр.4 ведом.20'!G539</f>
        <v>530.65319999999997</v>
      </c>
      <c r="G62" s="28">
        <f>'Пр.4 ведом.20'!H49+'Пр.4 ведом.20'!H539</f>
        <v>530.65319999999997</v>
      </c>
      <c r="H62" s="337">
        <f t="shared" si="2"/>
        <v>100</v>
      </c>
    </row>
    <row r="63" spans="1:8" s="210" customFormat="1" ht="31.5" x14ac:dyDescent="0.25">
      <c r="A63" s="318" t="s">
        <v>930</v>
      </c>
      <c r="B63" s="312" t="s">
        <v>133</v>
      </c>
      <c r="C63" s="319" t="s">
        <v>165</v>
      </c>
      <c r="D63" s="312" t="s">
        <v>907</v>
      </c>
      <c r="E63" s="312"/>
      <c r="F63" s="4">
        <f>F64+F78+F83+F88+F67+F93+F72+F75</f>
        <v>3472.99</v>
      </c>
      <c r="G63" s="4">
        <f t="shared" ref="G63" si="33">G64+G78+G83+G88+G67+G93+G72+G75</f>
        <v>3290.0691100000004</v>
      </c>
      <c r="H63" s="4">
        <f t="shared" si="2"/>
        <v>94.733042997532408</v>
      </c>
    </row>
    <row r="64" spans="1:8" s="210" customFormat="1" ht="47.25" x14ac:dyDescent="0.25">
      <c r="A64" s="349" t="s">
        <v>202</v>
      </c>
      <c r="B64" s="324" t="s">
        <v>133</v>
      </c>
      <c r="C64" s="347" t="s">
        <v>165</v>
      </c>
      <c r="D64" s="324" t="s">
        <v>1256</v>
      </c>
      <c r="E64" s="312"/>
      <c r="F64" s="313">
        <f>F65</f>
        <v>6</v>
      </c>
      <c r="G64" s="313">
        <f t="shared" ref="G64" si="34">G65</f>
        <v>0</v>
      </c>
      <c r="H64" s="337">
        <f t="shared" si="2"/>
        <v>0</v>
      </c>
    </row>
    <row r="65" spans="1:8" s="210" customFormat="1" ht="31.5" x14ac:dyDescent="0.25">
      <c r="A65" s="349" t="s">
        <v>146</v>
      </c>
      <c r="B65" s="324" t="s">
        <v>133</v>
      </c>
      <c r="C65" s="347" t="s">
        <v>165</v>
      </c>
      <c r="D65" s="324" t="s">
        <v>1256</v>
      </c>
      <c r="E65" s="324" t="s">
        <v>147</v>
      </c>
      <c r="F65" s="313">
        <f t="shared" ref="F65:G65" si="35">F66</f>
        <v>6</v>
      </c>
      <c r="G65" s="313">
        <f t="shared" si="35"/>
        <v>0</v>
      </c>
      <c r="H65" s="337">
        <f t="shared" si="2"/>
        <v>0</v>
      </c>
    </row>
    <row r="66" spans="1:8" s="210" customFormat="1" ht="47.25" x14ac:dyDescent="0.25">
      <c r="A66" s="349" t="s">
        <v>148</v>
      </c>
      <c r="B66" s="324" t="s">
        <v>133</v>
      </c>
      <c r="C66" s="347" t="s">
        <v>165</v>
      </c>
      <c r="D66" s="324" t="s">
        <v>1256</v>
      </c>
      <c r="E66" s="324" t="s">
        <v>149</v>
      </c>
      <c r="F66" s="313">
        <f>'Пр.4 ведом.20'!G53</f>
        <v>6</v>
      </c>
      <c r="G66" s="313">
        <f>'Пр.4 ведом.20'!H53</f>
        <v>0</v>
      </c>
      <c r="H66" s="337">
        <f t="shared" si="2"/>
        <v>0</v>
      </c>
    </row>
    <row r="67" spans="1:8" s="210" customFormat="1" ht="47.25" x14ac:dyDescent="0.25">
      <c r="A67" s="31" t="s">
        <v>1408</v>
      </c>
      <c r="B67" s="347" t="s">
        <v>133</v>
      </c>
      <c r="C67" s="347" t="s">
        <v>165</v>
      </c>
      <c r="D67" s="347" t="s">
        <v>1407</v>
      </c>
      <c r="E67" s="347"/>
      <c r="F67" s="321">
        <f>F68+F70</f>
        <v>92.6</v>
      </c>
      <c r="G67" s="321">
        <f t="shared" ref="G67" si="36">G68+G70</f>
        <v>0</v>
      </c>
      <c r="H67" s="337">
        <f t="shared" si="2"/>
        <v>0</v>
      </c>
    </row>
    <row r="68" spans="1:8" s="210" customFormat="1" ht="78.75" hidden="1" x14ac:dyDescent="0.25">
      <c r="A68" s="349" t="s">
        <v>142</v>
      </c>
      <c r="B68" s="347" t="s">
        <v>133</v>
      </c>
      <c r="C68" s="347" t="s">
        <v>165</v>
      </c>
      <c r="D68" s="347" t="s">
        <v>1407</v>
      </c>
      <c r="E68" s="347" t="s">
        <v>143</v>
      </c>
      <c r="F68" s="321">
        <f>F69</f>
        <v>0</v>
      </c>
      <c r="G68" s="321">
        <f t="shared" ref="G68" si="37">G69</f>
        <v>0</v>
      </c>
      <c r="H68" s="337" t="e">
        <f t="shared" si="2"/>
        <v>#DIV/0!</v>
      </c>
    </row>
    <row r="69" spans="1:8" s="210" customFormat="1" ht="31.5" hidden="1" x14ac:dyDescent="0.25">
      <c r="A69" s="349" t="s">
        <v>144</v>
      </c>
      <c r="B69" s="347" t="s">
        <v>133</v>
      </c>
      <c r="C69" s="347" t="s">
        <v>165</v>
      </c>
      <c r="D69" s="347" t="s">
        <v>1407</v>
      </c>
      <c r="E69" s="347" t="s">
        <v>145</v>
      </c>
      <c r="F69" s="321">
        <f>'Пр.4 ведом.20'!G56</f>
        <v>0</v>
      </c>
      <c r="G69" s="321">
        <f>'Пр.4 ведом.20'!H56</f>
        <v>0</v>
      </c>
      <c r="H69" s="337" t="e">
        <f t="shared" si="2"/>
        <v>#DIV/0!</v>
      </c>
    </row>
    <row r="70" spans="1:8" s="309" customFormat="1" ht="31.5" x14ac:dyDescent="0.25">
      <c r="A70" s="349" t="s">
        <v>146</v>
      </c>
      <c r="B70" s="347" t="s">
        <v>133</v>
      </c>
      <c r="C70" s="347" t="s">
        <v>165</v>
      </c>
      <c r="D70" s="347" t="s">
        <v>1407</v>
      </c>
      <c r="E70" s="347" t="s">
        <v>147</v>
      </c>
      <c r="F70" s="321">
        <f>F71</f>
        <v>92.6</v>
      </c>
      <c r="G70" s="321">
        <f t="shared" ref="G70" si="38">G71</f>
        <v>0</v>
      </c>
      <c r="H70" s="337">
        <f t="shared" si="2"/>
        <v>0</v>
      </c>
    </row>
    <row r="71" spans="1:8" s="309" customFormat="1" ht="47.25" x14ac:dyDescent="0.25">
      <c r="A71" s="349" t="s">
        <v>148</v>
      </c>
      <c r="B71" s="347" t="s">
        <v>133</v>
      </c>
      <c r="C71" s="347" t="s">
        <v>165</v>
      </c>
      <c r="D71" s="347" t="s">
        <v>1407</v>
      </c>
      <c r="E71" s="347" t="s">
        <v>149</v>
      </c>
      <c r="F71" s="321">
        <f>'Пр.4 ведом.20'!G58</f>
        <v>92.6</v>
      </c>
      <c r="G71" s="321">
        <f>'Пр.4 ведом.20'!H58</f>
        <v>0</v>
      </c>
      <c r="H71" s="337">
        <f t="shared" si="2"/>
        <v>0</v>
      </c>
    </row>
    <row r="72" spans="1:8" s="345" customFormat="1" ht="31.5" hidden="1" x14ac:dyDescent="0.25">
      <c r="A72" s="349" t="s">
        <v>1582</v>
      </c>
      <c r="B72" s="347" t="s">
        <v>133</v>
      </c>
      <c r="C72" s="347" t="s">
        <v>165</v>
      </c>
      <c r="D72" s="347" t="s">
        <v>1585</v>
      </c>
      <c r="E72" s="347"/>
      <c r="F72" s="321">
        <f>F73</f>
        <v>0</v>
      </c>
      <c r="G72" s="321">
        <f t="shared" ref="G72:G73" si="39">G73</f>
        <v>0</v>
      </c>
      <c r="H72" s="337" t="e">
        <f t="shared" si="2"/>
        <v>#DIV/0!</v>
      </c>
    </row>
    <row r="73" spans="1:8" s="345" customFormat="1" ht="78.75" hidden="1" x14ac:dyDescent="0.25">
      <c r="A73" s="349" t="s">
        <v>142</v>
      </c>
      <c r="B73" s="347" t="s">
        <v>133</v>
      </c>
      <c r="C73" s="347" t="s">
        <v>165</v>
      </c>
      <c r="D73" s="347" t="s">
        <v>1585</v>
      </c>
      <c r="E73" s="347" t="s">
        <v>143</v>
      </c>
      <c r="F73" s="321">
        <f>F74</f>
        <v>0</v>
      </c>
      <c r="G73" s="321">
        <f t="shared" si="39"/>
        <v>0</v>
      </c>
      <c r="H73" s="337" t="e">
        <f t="shared" ref="H73:H136" si="40">G73/F73*100</f>
        <v>#DIV/0!</v>
      </c>
    </row>
    <row r="74" spans="1:8" s="345" customFormat="1" ht="31.5" hidden="1" x14ac:dyDescent="0.25">
      <c r="A74" s="349" t="s">
        <v>144</v>
      </c>
      <c r="B74" s="347" t="s">
        <v>133</v>
      </c>
      <c r="C74" s="347" t="s">
        <v>165</v>
      </c>
      <c r="D74" s="347" t="s">
        <v>1585</v>
      </c>
      <c r="E74" s="347" t="s">
        <v>145</v>
      </c>
      <c r="F74" s="321">
        <f>'Пр.4 ведом.20'!G61</f>
        <v>0</v>
      </c>
      <c r="G74" s="321">
        <f>'Пр.4 ведом.20'!H61</f>
        <v>0</v>
      </c>
      <c r="H74" s="337" t="e">
        <f t="shared" si="40"/>
        <v>#DIV/0!</v>
      </c>
    </row>
    <row r="75" spans="1:8" s="345" customFormat="1" ht="63" x14ac:dyDescent="0.25">
      <c r="A75" s="31" t="s">
        <v>1588</v>
      </c>
      <c r="B75" s="347" t="s">
        <v>133</v>
      </c>
      <c r="C75" s="347" t="s">
        <v>165</v>
      </c>
      <c r="D75" s="347" t="s">
        <v>1589</v>
      </c>
      <c r="E75" s="347"/>
      <c r="F75" s="321">
        <f>F76</f>
        <v>175.99</v>
      </c>
      <c r="G75" s="321">
        <f t="shared" ref="G75:G76" si="41">G76</f>
        <v>175.99</v>
      </c>
      <c r="H75" s="337">
        <f t="shared" si="40"/>
        <v>100</v>
      </c>
    </row>
    <row r="76" spans="1:8" s="345" customFormat="1" ht="78.75" x14ac:dyDescent="0.25">
      <c r="A76" s="349" t="s">
        <v>142</v>
      </c>
      <c r="B76" s="347" t="s">
        <v>133</v>
      </c>
      <c r="C76" s="347" t="s">
        <v>165</v>
      </c>
      <c r="D76" s="347" t="s">
        <v>1589</v>
      </c>
      <c r="E76" s="347" t="s">
        <v>143</v>
      </c>
      <c r="F76" s="321">
        <f>F77</f>
        <v>175.99</v>
      </c>
      <c r="G76" s="321">
        <f t="shared" si="41"/>
        <v>175.99</v>
      </c>
      <c r="H76" s="337">
        <f t="shared" si="40"/>
        <v>100</v>
      </c>
    </row>
    <row r="77" spans="1:8" s="345" customFormat="1" ht="31.5" x14ac:dyDescent="0.25">
      <c r="A77" s="349" t="s">
        <v>144</v>
      </c>
      <c r="B77" s="347" t="s">
        <v>133</v>
      </c>
      <c r="C77" s="347" t="s">
        <v>165</v>
      </c>
      <c r="D77" s="347" t="s">
        <v>1589</v>
      </c>
      <c r="E77" s="347" t="s">
        <v>145</v>
      </c>
      <c r="F77" s="321">
        <f>'Пр.4 ведом.20'!G64</f>
        <v>175.99</v>
      </c>
      <c r="G77" s="321">
        <f>'Пр.4 ведом.20'!H64</f>
        <v>175.99</v>
      </c>
      <c r="H77" s="337">
        <f t="shared" si="40"/>
        <v>100</v>
      </c>
    </row>
    <row r="78" spans="1:8" s="210" customFormat="1" ht="47.25" x14ac:dyDescent="0.25">
      <c r="A78" s="45" t="s">
        <v>204</v>
      </c>
      <c r="B78" s="324" t="s">
        <v>133</v>
      </c>
      <c r="C78" s="347" t="s">
        <v>165</v>
      </c>
      <c r="D78" s="324" t="s">
        <v>991</v>
      </c>
      <c r="E78" s="324"/>
      <c r="F78" s="337">
        <f>F79+F81</f>
        <v>627.20000000000005</v>
      </c>
      <c r="G78" s="337">
        <f t="shared" ref="G78" si="42">G79+G81</f>
        <v>625.20083</v>
      </c>
      <c r="H78" s="337">
        <f t="shared" si="40"/>
        <v>99.681254783163254</v>
      </c>
    </row>
    <row r="79" spans="1:8" s="210" customFormat="1" ht="78.75" x14ac:dyDescent="0.25">
      <c r="A79" s="323" t="s">
        <v>142</v>
      </c>
      <c r="B79" s="324" t="s">
        <v>133</v>
      </c>
      <c r="C79" s="347" t="s">
        <v>165</v>
      </c>
      <c r="D79" s="324" t="s">
        <v>991</v>
      </c>
      <c r="E79" s="324" t="s">
        <v>143</v>
      </c>
      <c r="F79" s="337">
        <f t="shared" ref="F79:G79" si="43">F80</f>
        <v>627.20000000000005</v>
      </c>
      <c r="G79" s="337">
        <f t="shared" si="43"/>
        <v>625.20083</v>
      </c>
      <c r="H79" s="337">
        <f t="shared" si="40"/>
        <v>99.681254783163254</v>
      </c>
    </row>
    <row r="80" spans="1:8" s="210" customFormat="1" ht="31.5" x14ac:dyDescent="0.25">
      <c r="A80" s="323" t="s">
        <v>144</v>
      </c>
      <c r="B80" s="324" t="s">
        <v>133</v>
      </c>
      <c r="C80" s="347" t="s">
        <v>165</v>
      </c>
      <c r="D80" s="324" t="s">
        <v>991</v>
      </c>
      <c r="E80" s="324" t="s">
        <v>145</v>
      </c>
      <c r="F80" s="337">
        <f>'Пр.4 ведом.20'!G67</f>
        <v>627.20000000000005</v>
      </c>
      <c r="G80" s="337">
        <f>'Пр.4 ведом.20'!H67</f>
        <v>625.20083</v>
      </c>
      <c r="H80" s="337">
        <f t="shared" si="40"/>
        <v>99.681254783163254</v>
      </c>
    </row>
    <row r="81" spans="1:8" s="210" customFormat="1" ht="31.5" hidden="1" x14ac:dyDescent="0.25">
      <c r="A81" s="349" t="s">
        <v>146</v>
      </c>
      <c r="B81" s="324" t="s">
        <v>133</v>
      </c>
      <c r="C81" s="347" t="s">
        <v>165</v>
      </c>
      <c r="D81" s="324" t="s">
        <v>991</v>
      </c>
      <c r="E81" s="324" t="s">
        <v>147</v>
      </c>
      <c r="F81" s="337">
        <f>F82</f>
        <v>0</v>
      </c>
      <c r="G81" s="337">
        <f t="shared" ref="G81" si="44">G82</f>
        <v>0</v>
      </c>
      <c r="H81" s="337" t="e">
        <f t="shared" si="40"/>
        <v>#DIV/0!</v>
      </c>
    </row>
    <row r="82" spans="1:8" s="210" customFormat="1" ht="47.25" hidden="1" x14ac:dyDescent="0.25">
      <c r="A82" s="349" t="s">
        <v>148</v>
      </c>
      <c r="B82" s="324" t="s">
        <v>133</v>
      </c>
      <c r="C82" s="347" t="s">
        <v>165</v>
      </c>
      <c r="D82" s="324" t="s">
        <v>991</v>
      </c>
      <c r="E82" s="324" t="s">
        <v>149</v>
      </c>
      <c r="F82" s="337">
        <f>'Пр.4 ведом.20'!G69</f>
        <v>0</v>
      </c>
      <c r="G82" s="337">
        <f>'Пр.4 ведом.20'!H69</f>
        <v>0</v>
      </c>
      <c r="H82" s="337" t="e">
        <f t="shared" si="40"/>
        <v>#DIV/0!</v>
      </c>
    </row>
    <row r="83" spans="1:8" s="210" customFormat="1" ht="47.25" x14ac:dyDescent="0.25">
      <c r="A83" s="31" t="s">
        <v>209</v>
      </c>
      <c r="B83" s="324" t="s">
        <v>133</v>
      </c>
      <c r="C83" s="347" t="s">
        <v>165</v>
      </c>
      <c r="D83" s="324" t="s">
        <v>1193</v>
      </c>
      <c r="E83" s="324"/>
      <c r="F83" s="337">
        <f>F84+F86</f>
        <v>1433.3</v>
      </c>
      <c r="G83" s="337">
        <f t="shared" ref="G83" si="45">G84+G86</f>
        <v>1424.9866100000002</v>
      </c>
      <c r="H83" s="337">
        <f t="shared" si="40"/>
        <v>99.419982557733917</v>
      </c>
    </row>
    <row r="84" spans="1:8" s="210" customFormat="1" ht="78.75" x14ac:dyDescent="0.25">
      <c r="A84" s="323" t="s">
        <v>142</v>
      </c>
      <c r="B84" s="324" t="s">
        <v>133</v>
      </c>
      <c r="C84" s="347" t="s">
        <v>165</v>
      </c>
      <c r="D84" s="324" t="s">
        <v>1193</v>
      </c>
      <c r="E84" s="324" t="s">
        <v>143</v>
      </c>
      <c r="F84" s="337">
        <f t="shared" ref="F84:G84" si="46">F85</f>
        <v>1372.1</v>
      </c>
      <c r="G84" s="337">
        <f t="shared" si="46"/>
        <v>1360.8277</v>
      </c>
      <c r="H84" s="337">
        <f t="shared" si="40"/>
        <v>99.178463668828812</v>
      </c>
    </row>
    <row r="85" spans="1:8" s="210" customFormat="1" ht="31.5" x14ac:dyDescent="0.25">
      <c r="A85" s="323" t="s">
        <v>144</v>
      </c>
      <c r="B85" s="324" t="s">
        <v>133</v>
      </c>
      <c r="C85" s="347" t="s">
        <v>165</v>
      </c>
      <c r="D85" s="324" t="s">
        <v>1193</v>
      </c>
      <c r="E85" s="324" t="s">
        <v>145</v>
      </c>
      <c r="F85" s="337">
        <f>'Пр.4 ведом.20'!G72</f>
        <v>1372.1</v>
      </c>
      <c r="G85" s="337">
        <f>'Пр.4 ведом.20'!H72</f>
        <v>1360.8277</v>
      </c>
      <c r="H85" s="337">
        <f t="shared" si="40"/>
        <v>99.178463668828812</v>
      </c>
    </row>
    <row r="86" spans="1:8" s="210" customFormat="1" ht="31.5" x14ac:dyDescent="0.25">
      <c r="A86" s="349" t="s">
        <v>146</v>
      </c>
      <c r="B86" s="324" t="s">
        <v>133</v>
      </c>
      <c r="C86" s="347" t="s">
        <v>165</v>
      </c>
      <c r="D86" s="324" t="s">
        <v>1193</v>
      </c>
      <c r="E86" s="324" t="s">
        <v>147</v>
      </c>
      <c r="F86" s="337">
        <f>F87</f>
        <v>61.2</v>
      </c>
      <c r="G86" s="337">
        <f t="shared" ref="G86" si="47">G87</f>
        <v>64.158910000000006</v>
      </c>
      <c r="H86" s="337">
        <f t="shared" si="40"/>
        <v>104.83482026143791</v>
      </c>
    </row>
    <row r="87" spans="1:8" s="210" customFormat="1" ht="47.25" x14ac:dyDescent="0.25">
      <c r="A87" s="349" t="s">
        <v>148</v>
      </c>
      <c r="B87" s="324" t="s">
        <v>133</v>
      </c>
      <c r="C87" s="347" t="s">
        <v>165</v>
      </c>
      <c r="D87" s="324" t="s">
        <v>1193</v>
      </c>
      <c r="E87" s="324" t="s">
        <v>149</v>
      </c>
      <c r="F87" s="337">
        <f>'Пр.4 ведом.20'!G74</f>
        <v>61.2</v>
      </c>
      <c r="G87" s="337">
        <f>'Пр.4 ведом.20'!H74</f>
        <v>64.158910000000006</v>
      </c>
      <c r="H87" s="337">
        <f t="shared" si="40"/>
        <v>104.83482026143791</v>
      </c>
    </row>
    <row r="88" spans="1:8" ht="47.25" x14ac:dyDescent="0.25">
      <c r="A88" s="45" t="s">
        <v>211</v>
      </c>
      <c r="B88" s="324" t="s">
        <v>133</v>
      </c>
      <c r="C88" s="347" t="s">
        <v>165</v>
      </c>
      <c r="D88" s="324" t="s">
        <v>992</v>
      </c>
      <c r="E88" s="324"/>
      <c r="F88" s="337">
        <f t="shared" ref="F88" si="48">F89+F91</f>
        <v>1115.9000000000001</v>
      </c>
      <c r="G88" s="337">
        <f t="shared" ref="G88" si="49">G89+G91</f>
        <v>1063.89167</v>
      </c>
      <c r="H88" s="337">
        <f t="shared" si="40"/>
        <v>95.339337754279057</v>
      </c>
    </row>
    <row r="89" spans="1:8" ht="81.75" customHeight="1" x14ac:dyDescent="0.25">
      <c r="A89" s="323" t="s">
        <v>142</v>
      </c>
      <c r="B89" s="324" t="s">
        <v>133</v>
      </c>
      <c r="C89" s="347" t="s">
        <v>165</v>
      </c>
      <c r="D89" s="324" t="s">
        <v>992</v>
      </c>
      <c r="E89" s="324" t="s">
        <v>143</v>
      </c>
      <c r="F89" s="337">
        <f t="shared" ref="F89:G89" si="50">F90</f>
        <v>1081.9000000000001</v>
      </c>
      <c r="G89" s="337">
        <f t="shared" si="50"/>
        <v>1041.9000000000001</v>
      </c>
      <c r="H89" s="337">
        <f t="shared" si="40"/>
        <v>96.302800628523883</v>
      </c>
    </row>
    <row r="90" spans="1:8" ht="36" customHeight="1" x14ac:dyDescent="0.25">
      <c r="A90" s="323" t="s">
        <v>144</v>
      </c>
      <c r="B90" s="324" t="s">
        <v>133</v>
      </c>
      <c r="C90" s="347" t="s">
        <v>165</v>
      </c>
      <c r="D90" s="324" t="s">
        <v>992</v>
      </c>
      <c r="E90" s="324" t="s">
        <v>145</v>
      </c>
      <c r="F90" s="337">
        <f>'Пр.4 ведом.20'!G77</f>
        <v>1081.9000000000001</v>
      </c>
      <c r="G90" s="337">
        <f>'Пр.4 ведом.20'!H77</f>
        <v>1041.9000000000001</v>
      </c>
      <c r="H90" s="337">
        <f t="shared" si="40"/>
        <v>96.302800628523883</v>
      </c>
    </row>
    <row r="91" spans="1:8" ht="31.5" x14ac:dyDescent="0.25">
      <c r="A91" s="323" t="s">
        <v>146</v>
      </c>
      <c r="B91" s="324" t="s">
        <v>133</v>
      </c>
      <c r="C91" s="347" t="s">
        <v>165</v>
      </c>
      <c r="D91" s="324" t="s">
        <v>992</v>
      </c>
      <c r="E91" s="324" t="s">
        <v>147</v>
      </c>
      <c r="F91" s="337">
        <f t="shared" ref="F91:G91" si="51">F92</f>
        <v>34.000000000000007</v>
      </c>
      <c r="G91" s="337">
        <f t="shared" si="51"/>
        <v>21.991669999999999</v>
      </c>
      <c r="H91" s="337">
        <f t="shared" si="40"/>
        <v>64.681382352941171</v>
      </c>
    </row>
    <row r="92" spans="1:8" ht="47.25" x14ac:dyDescent="0.25">
      <c r="A92" s="323" t="s">
        <v>148</v>
      </c>
      <c r="B92" s="324" t="s">
        <v>133</v>
      </c>
      <c r="C92" s="347" t="s">
        <v>165</v>
      </c>
      <c r="D92" s="324" t="s">
        <v>992</v>
      </c>
      <c r="E92" s="324" t="s">
        <v>149</v>
      </c>
      <c r="F92" s="337">
        <f>'Пр.4 ведом.20'!G79</f>
        <v>34.000000000000007</v>
      </c>
      <c r="G92" s="337">
        <f>'Пр.4 ведом.20'!H79</f>
        <v>21.991669999999999</v>
      </c>
      <c r="H92" s="337">
        <f t="shared" si="40"/>
        <v>64.681382352941171</v>
      </c>
    </row>
    <row r="93" spans="1:8" s="210" customFormat="1" ht="94.5" x14ac:dyDescent="0.25">
      <c r="A93" s="31" t="s">
        <v>1401</v>
      </c>
      <c r="B93" s="347" t="s">
        <v>133</v>
      </c>
      <c r="C93" s="347" t="s">
        <v>165</v>
      </c>
      <c r="D93" s="347" t="s">
        <v>1400</v>
      </c>
      <c r="E93" s="347"/>
      <c r="F93" s="321">
        <f>F94</f>
        <v>22</v>
      </c>
      <c r="G93" s="321">
        <f t="shared" ref="G93:G94" si="52">G94</f>
        <v>0</v>
      </c>
      <c r="H93" s="337">
        <f t="shared" si="40"/>
        <v>0</v>
      </c>
    </row>
    <row r="94" spans="1:8" s="210" customFormat="1" ht="78.75" x14ac:dyDescent="0.25">
      <c r="A94" s="349" t="s">
        <v>142</v>
      </c>
      <c r="B94" s="347" t="s">
        <v>133</v>
      </c>
      <c r="C94" s="347" t="s">
        <v>165</v>
      </c>
      <c r="D94" s="347" t="s">
        <v>1400</v>
      </c>
      <c r="E94" s="347" t="s">
        <v>143</v>
      </c>
      <c r="F94" s="321">
        <f>F95</f>
        <v>22</v>
      </c>
      <c r="G94" s="321">
        <f t="shared" si="52"/>
        <v>0</v>
      </c>
      <c r="H94" s="337">
        <f t="shared" si="40"/>
        <v>0</v>
      </c>
    </row>
    <row r="95" spans="1:8" s="210" customFormat="1" ht="31.5" x14ac:dyDescent="0.25">
      <c r="A95" s="349" t="s">
        <v>144</v>
      </c>
      <c r="B95" s="347" t="s">
        <v>133</v>
      </c>
      <c r="C95" s="347" t="s">
        <v>165</v>
      </c>
      <c r="D95" s="347" t="s">
        <v>1400</v>
      </c>
      <c r="E95" s="347" t="s">
        <v>145</v>
      </c>
      <c r="F95" s="321">
        <f>'Пр.4 ведом.20'!G543</f>
        <v>22</v>
      </c>
      <c r="G95" s="321">
        <f>'Пр.4 ведом.20'!H543</f>
        <v>0</v>
      </c>
      <c r="H95" s="337">
        <f t="shared" si="40"/>
        <v>0</v>
      </c>
    </row>
    <row r="96" spans="1:8" s="210" customFormat="1" ht="47.25" x14ac:dyDescent="0.25">
      <c r="A96" s="318" t="s">
        <v>818</v>
      </c>
      <c r="B96" s="319" t="s">
        <v>133</v>
      </c>
      <c r="C96" s="319" t="s">
        <v>165</v>
      </c>
      <c r="D96" s="319" t="s">
        <v>177</v>
      </c>
      <c r="E96" s="319"/>
      <c r="F96" s="4">
        <f>F97+F101+F107</f>
        <v>578</v>
      </c>
      <c r="G96" s="4">
        <f t="shared" ref="G96" si="53">G97+G101+G107</f>
        <v>565.49354000000005</v>
      </c>
      <c r="H96" s="4">
        <f t="shared" si="40"/>
        <v>97.836252595155713</v>
      </c>
    </row>
    <row r="97" spans="1:8" s="210" customFormat="1" ht="63" x14ac:dyDescent="0.25">
      <c r="A97" s="226" t="s">
        <v>1153</v>
      </c>
      <c r="B97" s="319" t="s">
        <v>133</v>
      </c>
      <c r="C97" s="319" t="s">
        <v>165</v>
      </c>
      <c r="D97" s="312" t="s">
        <v>893</v>
      </c>
      <c r="E97" s="319"/>
      <c r="F97" s="4">
        <f>F98</f>
        <v>534</v>
      </c>
      <c r="G97" s="4">
        <f t="shared" ref="G97:G99" si="54">G98</f>
        <v>523.28354000000002</v>
      </c>
      <c r="H97" s="4">
        <f t="shared" si="40"/>
        <v>97.993172284644203</v>
      </c>
    </row>
    <row r="98" spans="1:8" s="210" customFormat="1" ht="31.5" x14ac:dyDescent="0.25">
      <c r="A98" s="323" t="s">
        <v>1152</v>
      </c>
      <c r="B98" s="347" t="s">
        <v>133</v>
      </c>
      <c r="C98" s="347" t="s">
        <v>165</v>
      </c>
      <c r="D98" s="324" t="s">
        <v>885</v>
      </c>
      <c r="E98" s="347"/>
      <c r="F98" s="337">
        <f>F99</f>
        <v>534</v>
      </c>
      <c r="G98" s="337">
        <f t="shared" si="54"/>
        <v>523.28354000000002</v>
      </c>
      <c r="H98" s="337">
        <f t="shared" si="40"/>
        <v>97.993172284644203</v>
      </c>
    </row>
    <row r="99" spans="1:8" s="210" customFormat="1" ht="31.5" x14ac:dyDescent="0.25">
      <c r="A99" s="349" t="s">
        <v>146</v>
      </c>
      <c r="B99" s="347" t="s">
        <v>133</v>
      </c>
      <c r="C99" s="347" t="s">
        <v>165</v>
      </c>
      <c r="D99" s="324" t="s">
        <v>885</v>
      </c>
      <c r="E99" s="347" t="s">
        <v>147</v>
      </c>
      <c r="F99" s="337">
        <f>F100</f>
        <v>534</v>
      </c>
      <c r="G99" s="337">
        <f t="shared" si="54"/>
        <v>523.28354000000002</v>
      </c>
      <c r="H99" s="337">
        <f t="shared" si="40"/>
        <v>97.993172284644203</v>
      </c>
    </row>
    <row r="100" spans="1:8" s="210" customFormat="1" ht="47.25" x14ac:dyDescent="0.25">
      <c r="A100" s="349" t="s">
        <v>148</v>
      </c>
      <c r="B100" s="347" t="s">
        <v>133</v>
      </c>
      <c r="C100" s="347" t="s">
        <v>165</v>
      </c>
      <c r="D100" s="324" t="s">
        <v>885</v>
      </c>
      <c r="E100" s="347" t="s">
        <v>149</v>
      </c>
      <c r="F100" s="337">
        <f>'Пр.4 ведом.20'!G84</f>
        <v>534</v>
      </c>
      <c r="G100" s="337">
        <f>'Пр.4 ведом.20'!H84</f>
        <v>523.28354000000002</v>
      </c>
      <c r="H100" s="337">
        <f t="shared" si="40"/>
        <v>97.993172284644203</v>
      </c>
    </row>
    <row r="101" spans="1:8" s="210" customFormat="1" ht="63" x14ac:dyDescent="0.25">
      <c r="A101" s="225" t="s">
        <v>887</v>
      </c>
      <c r="B101" s="319" t="s">
        <v>133</v>
      </c>
      <c r="C101" s="319" t="s">
        <v>165</v>
      </c>
      <c r="D101" s="312" t="s">
        <v>894</v>
      </c>
      <c r="E101" s="319"/>
      <c r="F101" s="4">
        <f>F102</f>
        <v>43.5</v>
      </c>
      <c r="G101" s="4">
        <f t="shared" ref="G101" si="55">G102</f>
        <v>42.21</v>
      </c>
      <c r="H101" s="4">
        <f t="shared" si="40"/>
        <v>97.034482758620683</v>
      </c>
    </row>
    <row r="102" spans="1:8" s="210" customFormat="1" ht="47.25" x14ac:dyDescent="0.25">
      <c r="A102" s="178" t="s">
        <v>180</v>
      </c>
      <c r="B102" s="347" t="s">
        <v>133</v>
      </c>
      <c r="C102" s="347" t="s">
        <v>165</v>
      </c>
      <c r="D102" s="324" t="s">
        <v>886</v>
      </c>
      <c r="E102" s="347"/>
      <c r="F102" s="337">
        <f>F103+F105</f>
        <v>43.5</v>
      </c>
      <c r="G102" s="337">
        <f t="shared" ref="G102" si="56">G103+G105</f>
        <v>42.21</v>
      </c>
      <c r="H102" s="337">
        <f t="shared" si="40"/>
        <v>97.034482758620683</v>
      </c>
    </row>
    <row r="103" spans="1:8" s="210" customFormat="1" ht="78.75" x14ac:dyDescent="0.25">
      <c r="A103" s="349" t="s">
        <v>142</v>
      </c>
      <c r="B103" s="347" t="s">
        <v>133</v>
      </c>
      <c r="C103" s="347" t="s">
        <v>165</v>
      </c>
      <c r="D103" s="324" t="s">
        <v>886</v>
      </c>
      <c r="E103" s="347" t="s">
        <v>143</v>
      </c>
      <c r="F103" s="337">
        <f>F104</f>
        <v>25</v>
      </c>
      <c r="G103" s="337">
        <f t="shared" ref="G103" si="57">G104</f>
        <v>23.96</v>
      </c>
      <c r="H103" s="337">
        <f t="shared" si="40"/>
        <v>95.84</v>
      </c>
    </row>
    <row r="104" spans="1:8" s="210" customFormat="1" ht="31.5" x14ac:dyDescent="0.25">
      <c r="A104" s="349" t="s">
        <v>144</v>
      </c>
      <c r="B104" s="347" t="s">
        <v>133</v>
      </c>
      <c r="C104" s="347" t="s">
        <v>165</v>
      </c>
      <c r="D104" s="324" t="s">
        <v>886</v>
      </c>
      <c r="E104" s="347" t="s">
        <v>145</v>
      </c>
      <c r="F104" s="337">
        <f>'Пр.4 ведом.20'!G88</f>
        <v>25</v>
      </c>
      <c r="G104" s="337">
        <f>'Пр.4 ведом.20'!H88</f>
        <v>23.96</v>
      </c>
      <c r="H104" s="337">
        <f t="shared" si="40"/>
        <v>95.84</v>
      </c>
    </row>
    <row r="105" spans="1:8" s="210" customFormat="1" ht="31.5" x14ac:dyDescent="0.25">
      <c r="A105" s="349" t="s">
        <v>146</v>
      </c>
      <c r="B105" s="347" t="s">
        <v>133</v>
      </c>
      <c r="C105" s="347" t="s">
        <v>165</v>
      </c>
      <c r="D105" s="324" t="s">
        <v>886</v>
      </c>
      <c r="E105" s="347" t="s">
        <v>147</v>
      </c>
      <c r="F105" s="337">
        <f>F106</f>
        <v>18.5</v>
      </c>
      <c r="G105" s="337">
        <f t="shared" ref="G105" si="58">G106</f>
        <v>18.25</v>
      </c>
      <c r="H105" s="337">
        <f t="shared" si="40"/>
        <v>98.648648648648646</v>
      </c>
    </row>
    <row r="106" spans="1:8" s="210" customFormat="1" ht="47.25" x14ac:dyDescent="0.25">
      <c r="A106" s="349" t="s">
        <v>148</v>
      </c>
      <c r="B106" s="347" t="s">
        <v>133</v>
      </c>
      <c r="C106" s="347" t="s">
        <v>165</v>
      </c>
      <c r="D106" s="324" t="s">
        <v>886</v>
      </c>
      <c r="E106" s="347" t="s">
        <v>149</v>
      </c>
      <c r="F106" s="337">
        <f>'Пр.4 ведом.20'!G90</f>
        <v>18.5</v>
      </c>
      <c r="G106" s="337">
        <f>'Пр.4 ведом.20'!H90</f>
        <v>18.25</v>
      </c>
      <c r="H106" s="337">
        <f t="shared" si="40"/>
        <v>98.648648648648646</v>
      </c>
    </row>
    <row r="107" spans="1:8" s="210" customFormat="1" ht="63" x14ac:dyDescent="0.25">
      <c r="A107" s="227" t="s">
        <v>1154</v>
      </c>
      <c r="B107" s="319" t="s">
        <v>133</v>
      </c>
      <c r="C107" s="319" t="s">
        <v>165</v>
      </c>
      <c r="D107" s="312" t="s">
        <v>895</v>
      </c>
      <c r="E107" s="319"/>
      <c r="F107" s="4">
        <f>F108+F111</f>
        <v>0.5</v>
      </c>
      <c r="G107" s="4">
        <f t="shared" ref="G107" si="59">G108+G111</f>
        <v>0</v>
      </c>
      <c r="H107" s="4">
        <f t="shared" si="40"/>
        <v>0</v>
      </c>
    </row>
    <row r="108" spans="1:8" s="210" customFormat="1" ht="47.25" x14ac:dyDescent="0.25">
      <c r="A108" s="33" t="s">
        <v>206</v>
      </c>
      <c r="B108" s="347" t="s">
        <v>133</v>
      </c>
      <c r="C108" s="347" t="s">
        <v>165</v>
      </c>
      <c r="D108" s="324" t="s">
        <v>888</v>
      </c>
      <c r="E108" s="347"/>
      <c r="F108" s="337">
        <f>F109</f>
        <v>0.5</v>
      </c>
      <c r="G108" s="337">
        <f t="shared" ref="G108:G109" si="60">G109</f>
        <v>0</v>
      </c>
      <c r="H108" s="337">
        <f t="shared" si="40"/>
        <v>0</v>
      </c>
    </row>
    <row r="109" spans="1:8" s="210" customFormat="1" ht="31.5" x14ac:dyDescent="0.25">
      <c r="A109" s="349" t="s">
        <v>146</v>
      </c>
      <c r="B109" s="347" t="s">
        <v>133</v>
      </c>
      <c r="C109" s="347" t="s">
        <v>165</v>
      </c>
      <c r="D109" s="324" t="s">
        <v>888</v>
      </c>
      <c r="E109" s="347" t="s">
        <v>147</v>
      </c>
      <c r="F109" s="337">
        <f>F110</f>
        <v>0.5</v>
      </c>
      <c r="G109" s="337">
        <f t="shared" si="60"/>
        <v>0</v>
      </c>
      <c r="H109" s="337">
        <f t="shared" si="40"/>
        <v>0</v>
      </c>
    </row>
    <row r="110" spans="1:8" s="210" customFormat="1" ht="47.25" x14ac:dyDescent="0.25">
      <c r="A110" s="349" t="s">
        <v>148</v>
      </c>
      <c r="B110" s="347" t="s">
        <v>133</v>
      </c>
      <c r="C110" s="347" t="s">
        <v>165</v>
      </c>
      <c r="D110" s="324" t="s">
        <v>888</v>
      </c>
      <c r="E110" s="347" t="s">
        <v>149</v>
      </c>
      <c r="F110" s="337">
        <f>'Пр.4 ведом.20'!G94</f>
        <v>0.5</v>
      </c>
      <c r="G110" s="337">
        <f>'Пр.4 ведом.20'!H94</f>
        <v>0</v>
      </c>
      <c r="H110" s="337">
        <f t="shared" si="40"/>
        <v>0</v>
      </c>
    </row>
    <row r="111" spans="1:8" s="210" customFormat="1" ht="47.25" hidden="1" x14ac:dyDescent="0.25">
      <c r="A111" s="33" t="s">
        <v>206</v>
      </c>
      <c r="B111" s="347" t="s">
        <v>133</v>
      </c>
      <c r="C111" s="347" t="s">
        <v>165</v>
      </c>
      <c r="D111" s="347" t="s">
        <v>889</v>
      </c>
      <c r="E111" s="347"/>
      <c r="F111" s="337">
        <f>F112</f>
        <v>0</v>
      </c>
      <c r="G111" s="337">
        <f t="shared" ref="G111:G112" si="61">G112</f>
        <v>0</v>
      </c>
      <c r="H111" s="337" t="e">
        <f t="shared" si="40"/>
        <v>#DIV/0!</v>
      </c>
    </row>
    <row r="112" spans="1:8" s="210" customFormat="1" ht="31.5" hidden="1" x14ac:dyDescent="0.25">
      <c r="A112" s="349" t="s">
        <v>146</v>
      </c>
      <c r="B112" s="347" t="s">
        <v>133</v>
      </c>
      <c r="C112" s="347" t="s">
        <v>165</v>
      </c>
      <c r="D112" s="347" t="s">
        <v>889</v>
      </c>
      <c r="E112" s="347" t="s">
        <v>147</v>
      </c>
      <c r="F112" s="337">
        <f>F113</f>
        <v>0</v>
      </c>
      <c r="G112" s="337">
        <f t="shared" si="61"/>
        <v>0</v>
      </c>
      <c r="H112" s="337" t="e">
        <f t="shared" si="40"/>
        <v>#DIV/0!</v>
      </c>
    </row>
    <row r="113" spans="1:8" s="210" customFormat="1" ht="47.25" hidden="1" x14ac:dyDescent="0.25">
      <c r="A113" s="349" t="s">
        <v>148</v>
      </c>
      <c r="B113" s="347" t="s">
        <v>133</v>
      </c>
      <c r="C113" s="347" t="s">
        <v>165</v>
      </c>
      <c r="D113" s="347" t="s">
        <v>889</v>
      </c>
      <c r="E113" s="347" t="s">
        <v>149</v>
      </c>
      <c r="F113" s="337">
        <f>'Пр.4 ведом.20'!G97</f>
        <v>0</v>
      </c>
      <c r="G113" s="337">
        <f>'Пр.4 ведом.20'!H97</f>
        <v>0</v>
      </c>
      <c r="H113" s="337" t="e">
        <f t="shared" si="40"/>
        <v>#DIV/0!</v>
      </c>
    </row>
    <row r="114" spans="1:8" ht="47.25" x14ac:dyDescent="0.25">
      <c r="A114" s="41" t="s">
        <v>134</v>
      </c>
      <c r="B114" s="312" t="s">
        <v>133</v>
      </c>
      <c r="C114" s="312" t="s">
        <v>135</v>
      </c>
      <c r="D114" s="312"/>
      <c r="E114" s="312"/>
      <c r="F114" s="4">
        <f t="shared" ref="F114:G114" si="62">F115</f>
        <v>15821.580449999999</v>
      </c>
      <c r="G114" s="4">
        <f t="shared" si="62"/>
        <v>15713.029029999998</v>
      </c>
      <c r="H114" s="4">
        <f t="shared" si="40"/>
        <v>99.313902802927629</v>
      </c>
    </row>
    <row r="115" spans="1:8" ht="31.5" x14ac:dyDescent="0.25">
      <c r="A115" s="318" t="s">
        <v>988</v>
      </c>
      <c r="B115" s="312" t="s">
        <v>133</v>
      </c>
      <c r="C115" s="312" t="s">
        <v>135</v>
      </c>
      <c r="D115" s="312" t="s">
        <v>902</v>
      </c>
      <c r="E115" s="312"/>
      <c r="F115" s="4">
        <f>F128+F116</f>
        <v>15821.580449999999</v>
      </c>
      <c r="G115" s="4">
        <f t="shared" ref="G115" si="63">G128+G116</f>
        <v>15713.029029999998</v>
      </c>
      <c r="H115" s="4">
        <f t="shared" si="40"/>
        <v>99.313902802927629</v>
      </c>
    </row>
    <row r="116" spans="1:8" s="210" customFormat="1" ht="31.5" x14ac:dyDescent="0.25">
      <c r="A116" s="318" t="s">
        <v>1132</v>
      </c>
      <c r="B116" s="312" t="s">
        <v>133</v>
      </c>
      <c r="C116" s="312" t="s">
        <v>135</v>
      </c>
      <c r="D116" s="312" t="s">
        <v>1133</v>
      </c>
      <c r="E116" s="312"/>
      <c r="F116" s="4">
        <f>F117+F122+F125</f>
        <v>1835.5187499999997</v>
      </c>
      <c r="G116" s="4">
        <f t="shared" ref="G116" si="64">G117+G122+G125</f>
        <v>1832.1385</v>
      </c>
      <c r="H116" s="4">
        <f t="shared" si="40"/>
        <v>99.815842251679541</v>
      </c>
    </row>
    <row r="117" spans="1:8" s="210" customFormat="1" ht="31.5" x14ac:dyDescent="0.25">
      <c r="A117" s="349" t="s">
        <v>965</v>
      </c>
      <c r="B117" s="347" t="s">
        <v>133</v>
      </c>
      <c r="C117" s="347" t="s">
        <v>135</v>
      </c>
      <c r="D117" s="347" t="s">
        <v>1137</v>
      </c>
      <c r="E117" s="347"/>
      <c r="F117" s="337">
        <f>F118+F120</f>
        <v>1821.9999999999998</v>
      </c>
      <c r="G117" s="337">
        <f t="shared" ref="G117" si="65">G118+G120</f>
        <v>1818.6189999999999</v>
      </c>
      <c r="H117" s="337">
        <f t="shared" si="40"/>
        <v>99.814434687156989</v>
      </c>
    </row>
    <row r="118" spans="1:8" s="210" customFormat="1" ht="78.75" x14ac:dyDescent="0.25">
      <c r="A118" s="349" t="s">
        <v>142</v>
      </c>
      <c r="B118" s="347" t="s">
        <v>133</v>
      </c>
      <c r="C118" s="347" t="s">
        <v>135</v>
      </c>
      <c r="D118" s="347" t="s">
        <v>1137</v>
      </c>
      <c r="E118" s="347" t="s">
        <v>143</v>
      </c>
      <c r="F118" s="337">
        <f>F119</f>
        <v>1821.9999999999998</v>
      </c>
      <c r="G118" s="337">
        <f t="shared" ref="G118" si="66">G119</f>
        <v>1818.6189999999999</v>
      </c>
      <c r="H118" s="337">
        <f t="shared" si="40"/>
        <v>99.814434687156989</v>
      </c>
    </row>
    <row r="119" spans="1:8" s="210" customFormat="1" ht="31.5" x14ac:dyDescent="0.25">
      <c r="A119" s="349" t="s">
        <v>144</v>
      </c>
      <c r="B119" s="347" t="s">
        <v>133</v>
      </c>
      <c r="C119" s="347" t="s">
        <v>135</v>
      </c>
      <c r="D119" s="347" t="s">
        <v>1137</v>
      </c>
      <c r="E119" s="347" t="s">
        <v>145</v>
      </c>
      <c r="F119" s="337">
        <f>'Пр.4 ведом.20'!G1235</f>
        <v>1821.9999999999998</v>
      </c>
      <c r="G119" s="337">
        <f>'Пр.4 ведом.20'!H1235</f>
        <v>1818.6189999999999</v>
      </c>
      <c r="H119" s="337">
        <f t="shared" si="40"/>
        <v>99.814434687156989</v>
      </c>
    </row>
    <row r="120" spans="1:8" s="210" customFormat="1" ht="31.5" hidden="1" x14ac:dyDescent="0.25">
      <c r="A120" s="349" t="s">
        <v>213</v>
      </c>
      <c r="B120" s="347" t="s">
        <v>133</v>
      </c>
      <c r="C120" s="347" t="s">
        <v>135</v>
      </c>
      <c r="D120" s="347" t="s">
        <v>1137</v>
      </c>
      <c r="E120" s="347" t="s">
        <v>147</v>
      </c>
      <c r="F120" s="337">
        <f>F121</f>
        <v>0</v>
      </c>
      <c r="G120" s="337">
        <f t="shared" ref="G120" si="67">G121</f>
        <v>0</v>
      </c>
      <c r="H120" s="337" t="e">
        <f t="shared" si="40"/>
        <v>#DIV/0!</v>
      </c>
    </row>
    <row r="121" spans="1:8" s="210" customFormat="1" ht="47.25" hidden="1" x14ac:dyDescent="0.25">
      <c r="A121" s="349" t="s">
        <v>148</v>
      </c>
      <c r="B121" s="347" t="s">
        <v>133</v>
      </c>
      <c r="C121" s="347" t="s">
        <v>135</v>
      </c>
      <c r="D121" s="347" t="s">
        <v>1137</v>
      </c>
      <c r="E121" s="347" t="s">
        <v>149</v>
      </c>
      <c r="F121" s="337">
        <f>'Пр.4 ведом.20'!G1237</f>
        <v>0</v>
      </c>
      <c r="G121" s="337">
        <f>'Пр.4 ведом.20'!H1237</f>
        <v>0</v>
      </c>
      <c r="H121" s="337" t="e">
        <f t="shared" si="40"/>
        <v>#DIV/0!</v>
      </c>
    </row>
    <row r="122" spans="1:8" s="210" customFormat="1" ht="47.25" hidden="1" x14ac:dyDescent="0.25">
      <c r="A122" s="349" t="s">
        <v>883</v>
      </c>
      <c r="B122" s="347" t="s">
        <v>133</v>
      </c>
      <c r="C122" s="347" t="s">
        <v>135</v>
      </c>
      <c r="D122" s="347" t="s">
        <v>1135</v>
      </c>
      <c r="E122" s="347"/>
      <c r="F122" s="337">
        <f>F123</f>
        <v>0</v>
      </c>
      <c r="G122" s="337">
        <f t="shared" ref="G122:G123" si="68">G123</f>
        <v>0</v>
      </c>
      <c r="H122" s="337" t="e">
        <f t="shared" si="40"/>
        <v>#DIV/0!</v>
      </c>
    </row>
    <row r="123" spans="1:8" s="210" customFormat="1" ht="78.75" hidden="1" x14ac:dyDescent="0.25">
      <c r="A123" s="349" t="s">
        <v>142</v>
      </c>
      <c r="B123" s="347" t="s">
        <v>133</v>
      </c>
      <c r="C123" s="347" t="s">
        <v>135</v>
      </c>
      <c r="D123" s="347" t="s">
        <v>1135</v>
      </c>
      <c r="E123" s="347" t="s">
        <v>143</v>
      </c>
      <c r="F123" s="337">
        <f>F124</f>
        <v>0</v>
      </c>
      <c r="G123" s="337">
        <f t="shared" si="68"/>
        <v>0</v>
      </c>
      <c r="H123" s="337" t="e">
        <f t="shared" si="40"/>
        <v>#DIV/0!</v>
      </c>
    </row>
    <row r="124" spans="1:8" s="210" customFormat="1" ht="31.5" hidden="1" x14ac:dyDescent="0.25">
      <c r="A124" s="349" t="s">
        <v>144</v>
      </c>
      <c r="B124" s="347" t="s">
        <v>133</v>
      </c>
      <c r="C124" s="347" t="s">
        <v>135</v>
      </c>
      <c r="D124" s="347" t="s">
        <v>1135</v>
      </c>
      <c r="E124" s="347" t="s">
        <v>145</v>
      </c>
      <c r="F124" s="337">
        <f>'Пр.4 ведом.20'!G1240</f>
        <v>0</v>
      </c>
      <c r="G124" s="337">
        <f>'Пр.4 ведом.20'!H1240</f>
        <v>0</v>
      </c>
      <c r="H124" s="337" t="e">
        <f t="shared" si="40"/>
        <v>#DIV/0!</v>
      </c>
    </row>
    <row r="125" spans="1:8" s="345" customFormat="1" ht="31.5" x14ac:dyDescent="0.25">
      <c r="A125" s="349" t="s">
        <v>1582</v>
      </c>
      <c r="B125" s="347" t="s">
        <v>133</v>
      </c>
      <c r="C125" s="347" t="s">
        <v>135</v>
      </c>
      <c r="D125" s="347" t="s">
        <v>1586</v>
      </c>
      <c r="E125" s="347"/>
      <c r="F125" s="337">
        <f>F126</f>
        <v>13.518750000000001</v>
      </c>
      <c r="G125" s="337">
        <f t="shared" ref="G125:G126" si="69">G126</f>
        <v>13.519500000000001</v>
      </c>
      <c r="H125" s="337">
        <f t="shared" si="40"/>
        <v>100.00554785020806</v>
      </c>
    </row>
    <row r="126" spans="1:8" s="345" customFormat="1" ht="78.75" x14ac:dyDescent="0.25">
      <c r="A126" s="349" t="s">
        <v>142</v>
      </c>
      <c r="B126" s="347" t="s">
        <v>133</v>
      </c>
      <c r="C126" s="347" t="s">
        <v>135</v>
      </c>
      <c r="D126" s="347" t="s">
        <v>1586</v>
      </c>
      <c r="E126" s="347" t="s">
        <v>143</v>
      </c>
      <c r="F126" s="337">
        <f>F127</f>
        <v>13.518750000000001</v>
      </c>
      <c r="G126" s="337">
        <f t="shared" si="69"/>
        <v>13.519500000000001</v>
      </c>
      <c r="H126" s="337">
        <f t="shared" si="40"/>
        <v>100.00554785020806</v>
      </c>
    </row>
    <row r="127" spans="1:8" s="345" customFormat="1" ht="31.5" x14ac:dyDescent="0.25">
      <c r="A127" s="349" t="s">
        <v>144</v>
      </c>
      <c r="B127" s="347" t="s">
        <v>133</v>
      </c>
      <c r="C127" s="347" t="s">
        <v>135</v>
      </c>
      <c r="D127" s="347" t="s">
        <v>1586</v>
      </c>
      <c r="E127" s="347" t="s">
        <v>145</v>
      </c>
      <c r="F127" s="337">
        <f>'Пр.4 ведом.20'!G1243</f>
        <v>13.518750000000001</v>
      </c>
      <c r="G127" s="337">
        <f>'Пр.4 ведом.20'!H1243</f>
        <v>13.519500000000001</v>
      </c>
      <c r="H127" s="337">
        <f t="shared" si="40"/>
        <v>100.00554785020806</v>
      </c>
    </row>
    <row r="128" spans="1:8" ht="15.75" x14ac:dyDescent="0.25">
      <c r="A128" s="318" t="s">
        <v>989</v>
      </c>
      <c r="B128" s="312" t="s">
        <v>133</v>
      </c>
      <c r="C128" s="312" t="s">
        <v>135</v>
      </c>
      <c r="D128" s="312" t="s">
        <v>903</v>
      </c>
      <c r="E128" s="312"/>
      <c r="F128" s="4">
        <f>F129+F136+F139</f>
        <v>13986.0617</v>
      </c>
      <c r="G128" s="4">
        <f t="shared" ref="G128" si="70">G129+G136+G139</f>
        <v>13880.890529999999</v>
      </c>
      <c r="H128" s="4">
        <f t="shared" si="40"/>
        <v>99.248028699887684</v>
      </c>
    </row>
    <row r="129" spans="1:8" ht="37.5" customHeight="1" x14ac:dyDescent="0.25">
      <c r="A129" s="323" t="s">
        <v>965</v>
      </c>
      <c r="B129" s="324" t="s">
        <v>133</v>
      </c>
      <c r="C129" s="324" t="s">
        <v>135</v>
      </c>
      <c r="D129" s="324" t="s">
        <v>904</v>
      </c>
      <c r="E129" s="324"/>
      <c r="F129" s="337">
        <f t="shared" ref="F129" si="71">F130+F132+F134</f>
        <v>13709</v>
      </c>
      <c r="G129" s="337">
        <f t="shared" ref="G129" si="72">G130+G132+G134</f>
        <v>13614.714269999999</v>
      </c>
      <c r="H129" s="337">
        <f t="shared" si="40"/>
        <v>99.312234809249389</v>
      </c>
    </row>
    <row r="130" spans="1:8" ht="78.75" x14ac:dyDescent="0.25">
      <c r="A130" s="323" t="s">
        <v>142</v>
      </c>
      <c r="B130" s="324" t="s">
        <v>133</v>
      </c>
      <c r="C130" s="324" t="s">
        <v>135</v>
      </c>
      <c r="D130" s="324" t="s">
        <v>904</v>
      </c>
      <c r="E130" s="324" t="s">
        <v>143</v>
      </c>
      <c r="F130" s="337">
        <f t="shared" ref="F130:G130" si="73">F131</f>
        <v>13097.1</v>
      </c>
      <c r="G130" s="337">
        <f t="shared" si="73"/>
        <v>13050.349269999999</v>
      </c>
      <c r="H130" s="337">
        <f t="shared" si="40"/>
        <v>99.643045177940152</v>
      </c>
    </row>
    <row r="131" spans="1:8" ht="31.5" x14ac:dyDescent="0.25">
      <c r="A131" s="323" t="s">
        <v>144</v>
      </c>
      <c r="B131" s="324" t="s">
        <v>133</v>
      </c>
      <c r="C131" s="324" t="s">
        <v>135</v>
      </c>
      <c r="D131" s="324" t="s">
        <v>904</v>
      </c>
      <c r="E131" s="324" t="s">
        <v>145</v>
      </c>
      <c r="F131" s="293">
        <f>'Пр.4 ведом.20'!G16+'Пр.4 ведом.20'!G103</f>
        <v>13097.1</v>
      </c>
      <c r="G131" s="293">
        <f>'Пр.4 ведом.20'!H16+'Пр.4 ведом.20'!H103</f>
        <v>13050.349269999999</v>
      </c>
      <c r="H131" s="337">
        <f t="shared" si="40"/>
        <v>99.643045177940152</v>
      </c>
    </row>
    <row r="132" spans="1:8" ht="31.5" x14ac:dyDescent="0.25">
      <c r="A132" s="323" t="s">
        <v>146</v>
      </c>
      <c r="B132" s="324" t="s">
        <v>133</v>
      </c>
      <c r="C132" s="324" t="s">
        <v>135</v>
      </c>
      <c r="D132" s="324" t="s">
        <v>904</v>
      </c>
      <c r="E132" s="324" t="s">
        <v>147</v>
      </c>
      <c r="F132" s="337">
        <f t="shared" ref="F132:G132" si="74">F133</f>
        <v>611.9</v>
      </c>
      <c r="G132" s="337">
        <f t="shared" si="74"/>
        <v>564.36500000000001</v>
      </c>
      <c r="H132" s="337">
        <f t="shared" si="40"/>
        <v>92.231573786566429</v>
      </c>
    </row>
    <row r="133" spans="1:8" ht="47.25" x14ac:dyDescent="0.25">
      <c r="A133" s="323" t="s">
        <v>148</v>
      </c>
      <c r="B133" s="324" t="s">
        <v>133</v>
      </c>
      <c r="C133" s="324" t="s">
        <v>135</v>
      </c>
      <c r="D133" s="324" t="s">
        <v>904</v>
      </c>
      <c r="E133" s="324" t="s">
        <v>149</v>
      </c>
      <c r="F133" s="337">
        <f>'Пр.4 ведом.20'!G18</f>
        <v>611.9</v>
      </c>
      <c r="G133" s="337">
        <f>'Пр.4 ведом.20'!H18</f>
        <v>564.36500000000001</v>
      </c>
      <c r="H133" s="337">
        <f t="shared" si="40"/>
        <v>92.231573786566429</v>
      </c>
    </row>
    <row r="134" spans="1:8" ht="15.75" hidden="1" x14ac:dyDescent="0.25">
      <c r="A134" s="323" t="s">
        <v>150</v>
      </c>
      <c r="B134" s="324" t="s">
        <v>133</v>
      </c>
      <c r="C134" s="324" t="s">
        <v>135</v>
      </c>
      <c r="D134" s="324" t="s">
        <v>904</v>
      </c>
      <c r="E134" s="324" t="s">
        <v>160</v>
      </c>
      <c r="F134" s="337">
        <f t="shared" ref="F134:G134" si="75">F135</f>
        <v>0</v>
      </c>
      <c r="G134" s="337">
        <f t="shared" si="75"/>
        <v>0</v>
      </c>
      <c r="H134" s="337" t="e">
        <f t="shared" si="40"/>
        <v>#DIV/0!</v>
      </c>
    </row>
    <row r="135" spans="1:8" ht="15.75" hidden="1" x14ac:dyDescent="0.25">
      <c r="A135" s="323" t="s">
        <v>583</v>
      </c>
      <c r="B135" s="324" t="s">
        <v>133</v>
      </c>
      <c r="C135" s="324" t="s">
        <v>135</v>
      </c>
      <c r="D135" s="324" t="s">
        <v>904</v>
      </c>
      <c r="E135" s="324" t="s">
        <v>153</v>
      </c>
      <c r="F135" s="337">
        <f>'Пр.4 ведом.20'!G20</f>
        <v>0</v>
      </c>
      <c r="G135" s="337">
        <f>'Пр.4 ведом.20'!H20</f>
        <v>0</v>
      </c>
      <c r="H135" s="337" t="e">
        <f t="shared" si="40"/>
        <v>#DIV/0!</v>
      </c>
    </row>
    <row r="136" spans="1:8" s="210" customFormat="1" ht="54" customHeight="1" x14ac:dyDescent="0.25">
      <c r="A136" s="349" t="s">
        <v>883</v>
      </c>
      <c r="B136" s="347" t="s">
        <v>133</v>
      </c>
      <c r="C136" s="347" t="s">
        <v>135</v>
      </c>
      <c r="D136" s="347" t="s">
        <v>906</v>
      </c>
      <c r="E136" s="347"/>
      <c r="F136" s="337">
        <f>F137</f>
        <v>185</v>
      </c>
      <c r="G136" s="337">
        <f t="shared" ref="G136:G137" si="76">G137</f>
        <v>174.11456000000001</v>
      </c>
      <c r="H136" s="337">
        <f t="shared" si="40"/>
        <v>94.115978378378387</v>
      </c>
    </row>
    <row r="137" spans="1:8" s="210" customFormat="1" ht="80.45" customHeight="1" x14ac:dyDescent="0.25">
      <c r="A137" s="349" t="s">
        <v>142</v>
      </c>
      <c r="B137" s="347" t="s">
        <v>133</v>
      </c>
      <c r="C137" s="347" t="s">
        <v>135</v>
      </c>
      <c r="D137" s="347" t="s">
        <v>906</v>
      </c>
      <c r="E137" s="347" t="s">
        <v>143</v>
      </c>
      <c r="F137" s="337">
        <f>F138</f>
        <v>185</v>
      </c>
      <c r="G137" s="337">
        <f t="shared" si="76"/>
        <v>174.11456000000001</v>
      </c>
      <c r="H137" s="337">
        <f t="shared" ref="H137:H200" si="77">G137/F137*100</f>
        <v>94.115978378378387</v>
      </c>
    </row>
    <row r="138" spans="1:8" s="210" customFormat="1" ht="36" customHeight="1" x14ac:dyDescent="0.25">
      <c r="A138" s="349" t="s">
        <v>144</v>
      </c>
      <c r="B138" s="347" t="s">
        <v>133</v>
      </c>
      <c r="C138" s="347" t="s">
        <v>135</v>
      </c>
      <c r="D138" s="347" t="s">
        <v>906</v>
      </c>
      <c r="E138" s="347" t="s">
        <v>145</v>
      </c>
      <c r="F138" s="337">
        <f>'Пр.4 ведом.20'!G23+'Пр.4 ведом.20'!G106</f>
        <v>185</v>
      </c>
      <c r="G138" s="337">
        <f>'Пр.4 ведом.20'!H23+'Пр.4 ведом.20'!H106</f>
        <v>174.11456000000001</v>
      </c>
      <c r="H138" s="337">
        <f t="shared" si="77"/>
        <v>94.115978378378387</v>
      </c>
    </row>
    <row r="139" spans="1:8" s="345" customFormat="1" ht="31.5" x14ac:dyDescent="0.25">
      <c r="A139" s="349" t="s">
        <v>1582</v>
      </c>
      <c r="B139" s="347" t="s">
        <v>1583</v>
      </c>
      <c r="C139" s="347" t="s">
        <v>135</v>
      </c>
      <c r="D139" s="347" t="s">
        <v>1584</v>
      </c>
      <c r="E139" s="347"/>
      <c r="F139" s="337">
        <f>F140</f>
        <v>92.061700000000002</v>
      </c>
      <c r="G139" s="337">
        <f t="shared" ref="G139:G140" si="78">G140</f>
        <v>92.061700000000002</v>
      </c>
      <c r="H139" s="337">
        <f t="shared" si="77"/>
        <v>100</v>
      </c>
    </row>
    <row r="140" spans="1:8" s="345" customFormat="1" ht="78.75" x14ac:dyDescent="0.25">
      <c r="A140" s="349" t="s">
        <v>142</v>
      </c>
      <c r="B140" s="347" t="s">
        <v>1583</v>
      </c>
      <c r="C140" s="347" t="s">
        <v>135</v>
      </c>
      <c r="D140" s="347" t="s">
        <v>1584</v>
      </c>
      <c r="E140" s="347" t="s">
        <v>143</v>
      </c>
      <c r="F140" s="337">
        <f>F141</f>
        <v>92.061700000000002</v>
      </c>
      <c r="G140" s="337">
        <f t="shared" si="78"/>
        <v>92.061700000000002</v>
      </c>
      <c r="H140" s="337">
        <f t="shared" si="77"/>
        <v>100</v>
      </c>
    </row>
    <row r="141" spans="1:8" s="345" customFormat="1" ht="31.5" x14ac:dyDescent="0.25">
      <c r="A141" s="349" t="s">
        <v>144</v>
      </c>
      <c r="B141" s="347" t="s">
        <v>1583</v>
      </c>
      <c r="C141" s="347" t="s">
        <v>135</v>
      </c>
      <c r="D141" s="347" t="s">
        <v>1584</v>
      </c>
      <c r="E141" s="347" t="s">
        <v>145</v>
      </c>
      <c r="F141" s="337">
        <f>'Пр.4 ведом.20'!G26+'Пр.4 ведом.20'!G109</f>
        <v>92.061700000000002</v>
      </c>
      <c r="G141" s="337">
        <f>'Пр.4 ведом.20'!H26+'Пр.4 ведом.20'!H109</f>
        <v>92.061700000000002</v>
      </c>
      <c r="H141" s="337">
        <f t="shared" si="77"/>
        <v>100</v>
      </c>
    </row>
    <row r="142" spans="1:8" s="210" customFormat="1" ht="20.25" customHeight="1" x14ac:dyDescent="0.25">
      <c r="A142" s="318" t="s">
        <v>1361</v>
      </c>
      <c r="B142" s="319" t="s">
        <v>133</v>
      </c>
      <c r="C142" s="319" t="s">
        <v>279</v>
      </c>
      <c r="D142" s="319"/>
      <c r="E142" s="347"/>
      <c r="F142" s="317">
        <f>F143</f>
        <v>1001.5</v>
      </c>
      <c r="G142" s="317">
        <f t="shared" ref="G142:G143" si="79">G143</f>
        <v>1000.046</v>
      </c>
      <c r="H142" s="4">
        <f t="shared" si="77"/>
        <v>99.854817773340002</v>
      </c>
    </row>
    <row r="143" spans="1:8" s="210" customFormat="1" ht="23.25" customHeight="1" x14ac:dyDescent="0.25">
      <c r="A143" s="318" t="s">
        <v>156</v>
      </c>
      <c r="B143" s="319" t="s">
        <v>133</v>
      </c>
      <c r="C143" s="319" t="s">
        <v>279</v>
      </c>
      <c r="D143" s="319" t="s">
        <v>910</v>
      </c>
      <c r="E143" s="347"/>
      <c r="F143" s="317">
        <f>F144</f>
        <v>1001.5</v>
      </c>
      <c r="G143" s="317">
        <f t="shared" si="79"/>
        <v>1000.046</v>
      </c>
      <c r="H143" s="4">
        <f t="shared" si="77"/>
        <v>99.854817773340002</v>
      </c>
    </row>
    <row r="144" spans="1:8" s="210" customFormat="1" ht="36" customHeight="1" x14ac:dyDescent="0.25">
      <c r="A144" s="318" t="s">
        <v>914</v>
      </c>
      <c r="B144" s="319" t="s">
        <v>133</v>
      </c>
      <c r="C144" s="319" t="s">
        <v>279</v>
      </c>
      <c r="D144" s="319" t="s">
        <v>909</v>
      </c>
      <c r="E144" s="347"/>
      <c r="F144" s="317">
        <f>F145+F150</f>
        <v>1001.5</v>
      </c>
      <c r="G144" s="317">
        <f t="shared" ref="G144" si="80">G145+G150</f>
        <v>1000.046</v>
      </c>
      <c r="H144" s="4">
        <f t="shared" si="77"/>
        <v>99.854817773340002</v>
      </c>
    </row>
    <row r="145" spans="1:10" s="210" customFormat="1" ht="24" customHeight="1" x14ac:dyDescent="0.25">
      <c r="A145" s="45" t="s">
        <v>214</v>
      </c>
      <c r="B145" s="347" t="s">
        <v>133</v>
      </c>
      <c r="C145" s="347" t="s">
        <v>279</v>
      </c>
      <c r="D145" s="347" t="s">
        <v>1360</v>
      </c>
      <c r="E145" s="347"/>
      <c r="F145" s="321">
        <f>F146+F148</f>
        <v>701.5</v>
      </c>
      <c r="G145" s="321">
        <f t="shared" ref="G145" si="81">G146+G148</f>
        <v>700.04600000000005</v>
      </c>
      <c r="H145" s="337">
        <f t="shared" si="77"/>
        <v>99.792729864575918</v>
      </c>
    </row>
    <row r="146" spans="1:10" s="210" customFormat="1" ht="78.75" hidden="1" customHeight="1" x14ac:dyDescent="0.25">
      <c r="A146" s="349" t="s">
        <v>142</v>
      </c>
      <c r="B146" s="347" t="s">
        <v>133</v>
      </c>
      <c r="C146" s="347" t="s">
        <v>279</v>
      </c>
      <c r="D146" s="347" t="s">
        <v>1360</v>
      </c>
      <c r="E146" s="347" t="s">
        <v>143</v>
      </c>
      <c r="F146" s="321">
        <f>F147</f>
        <v>0</v>
      </c>
      <c r="G146" s="321">
        <f t="shared" ref="G146" si="82">G147</f>
        <v>0</v>
      </c>
      <c r="H146" s="337" t="e">
        <f t="shared" si="77"/>
        <v>#DIV/0!</v>
      </c>
    </row>
    <row r="147" spans="1:10" s="210" customFormat="1" ht="36" hidden="1" customHeight="1" x14ac:dyDescent="0.25">
      <c r="A147" s="349" t="s">
        <v>144</v>
      </c>
      <c r="B147" s="347" t="s">
        <v>133</v>
      </c>
      <c r="C147" s="347" t="s">
        <v>279</v>
      </c>
      <c r="D147" s="347" t="s">
        <v>1360</v>
      </c>
      <c r="E147" s="347" t="s">
        <v>145</v>
      </c>
      <c r="F147" s="321">
        <f>'Пр.4 ведом.20'!G115</f>
        <v>0</v>
      </c>
      <c r="G147" s="321">
        <f>'Пр.4 ведом.20'!H115</f>
        <v>0</v>
      </c>
      <c r="H147" s="337" t="e">
        <f t="shared" si="77"/>
        <v>#DIV/0!</v>
      </c>
    </row>
    <row r="148" spans="1:10" s="210" customFormat="1" ht="15.75" x14ac:dyDescent="0.25">
      <c r="A148" s="349" t="s">
        <v>150</v>
      </c>
      <c r="B148" s="347" t="s">
        <v>133</v>
      </c>
      <c r="C148" s="347" t="s">
        <v>279</v>
      </c>
      <c r="D148" s="347" t="s">
        <v>1360</v>
      </c>
      <c r="E148" s="347" t="s">
        <v>160</v>
      </c>
      <c r="F148" s="321">
        <f>F149</f>
        <v>701.5</v>
      </c>
      <c r="G148" s="321">
        <f t="shared" ref="G148" si="83">G149</f>
        <v>700.04600000000005</v>
      </c>
      <c r="H148" s="337">
        <f t="shared" si="77"/>
        <v>99.792729864575918</v>
      </c>
    </row>
    <row r="149" spans="1:10" s="210" customFormat="1" ht="15.75" x14ac:dyDescent="0.25">
      <c r="A149" s="349" t="s">
        <v>1529</v>
      </c>
      <c r="B149" s="347" t="s">
        <v>133</v>
      </c>
      <c r="C149" s="347" t="s">
        <v>279</v>
      </c>
      <c r="D149" s="347" t="s">
        <v>1360</v>
      </c>
      <c r="E149" s="347" t="s">
        <v>1530</v>
      </c>
      <c r="F149" s="321">
        <f>'Пр.4 ведом.20'!G117</f>
        <v>701.5</v>
      </c>
      <c r="G149" s="321">
        <f>'Пр.4 ведом.20'!H117</f>
        <v>700.04600000000005</v>
      </c>
      <c r="H149" s="337">
        <f t="shared" si="77"/>
        <v>99.792729864575918</v>
      </c>
    </row>
    <row r="150" spans="1:10" s="309" customFormat="1" ht="47.25" x14ac:dyDescent="0.25">
      <c r="A150" s="349" t="s">
        <v>1531</v>
      </c>
      <c r="B150" s="347" t="s">
        <v>133</v>
      </c>
      <c r="C150" s="347" t="s">
        <v>279</v>
      </c>
      <c r="D150" s="347" t="s">
        <v>1535</v>
      </c>
      <c r="E150" s="347"/>
      <c r="F150" s="321">
        <f>F151</f>
        <v>300</v>
      </c>
      <c r="G150" s="321">
        <f t="shared" ref="G150:G151" si="84">G151</f>
        <v>300</v>
      </c>
      <c r="H150" s="337">
        <f t="shared" si="77"/>
        <v>100</v>
      </c>
    </row>
    <row r="151" spans="1:10" s="309" customFormat="1" ht="15.75" x14ac:dyDescent="0.25">
      <c r="A151" s="349" t="s">
        <v>150</v>
      </c>
      <c r="B151" s="347" t="s">
        <v>133</v>
      </c>
      <c r="C151" s="347" t="s">
        <v>279</v>
      </c>
      <c r="D151" s="347" t="s">
        <v>1535</v>
      </c>
      <c r="E151" s="347" t="s">
        <v>160</v>
      </c>
      <c r="F151" s="321">
        <f>F152</f>
        <v>300</v>
      </c>
      <c r="G151" s="321">
        <f t="shared" si="84"/>
        <v>300</v>
      </c>
      <c r="H151" s="337">
        <f t="shared" si="77"/>
        <v>100</v>
      </c>
    </row>
    <row r="152" spans="1:10" s="309" customFormat="1" ht="15.75" x14ac:dyDescent="0.25">
      <c r="A152" s="349" t="s">
        <v>1529</v>
      </c>
      <c r="B152" s="347" t="s">
        <v>133</v>
      </c>
      <c r="C152" s="347" t="s">
        <v>279</v>
      </c>
      <c r="D152" s="347" t="s">
        <v>1535</v>
      </c>
      <c r="E152" s="347" t="s">
        <v>1530</v>
      </c>
      <c r="F152" s="321">
        <f>'Пр.4 ведом.20'!G120</f>
        <v>300</v>
      </c>
      <c r="G152" s="321">
        <f>'Пр.4 ведом.20'!H120</f>
        <v>300</v>
      </c>
      <c r="H152" s="337">
        <f t="shared" si="77"/>
        <v>100</v>
      </c>
    </row>
    <row r="153" spans="1:10" ht="15.75" x14ac:dyDescent="0.25">
      <c r="A153" s="41" t="s">
        <v>154</v>
      </c>
      <c r="B153" s="312" t="s">
        <v>133</v>
      </c>
      <c r="C153" s="312" t="s">
        <v>155</v>
      </c>
      <c r="D153" s="312"/>
      <c r="E153" s="312"/>
      <c r="F153" s="4">
        <f>F154+F187+F196+F219+F228+F233+F238</f>
        <v>52452.000000000007</v>
      </c>
      <c r="G153" s="4">
        <f t="shared" ref="G153" si="85">G154+G187+G196+G219+G228+G233+G238</f>
        <v>51766.825099999995</v>
      </c>
      <c r="H153" s="4">
        <f t="shared" si="77"/>
        <v>98.693710630671831</v>
      </c>
      <c r="J153" s="22"/>
    </row>
    <row r="154" spans="1:10" s="210" customFormat="1" ht="15.75" x14ac:dyDescent="0.25">
      <c r="A154" s="318" t="s">
        <v>156</v>
      </c>
      <c r="B154" s="319" t="s">
        <v>133</v>
      </c>
      <c r="C154" s="319" t="s">
        <v>155</v>
      </c>
      <c r="D154" s="319" t="s">
        <v>910</v>
      </c>
      <c r="E154" s="319"/>
      <c r="F154" s="4">
        <f>F155+F168+F178</f>
        <v>52013.000000000007</v>
      </c>
      <c r="G154" s="4">
        <f t="shared" ref="G154" si="86">G155+G168+G178</f>
        <v>51471.169099999999</v>
      </c>
      <c r="H154" s="4">
        <f t="shared" si="77"/>
        <v>98.958277930517355</v>
      </c>
      <c r="J154" s="22"/>
    </row>
    <row r="155" spans="1:10" s="210" customFormat="1" ht="15.75" x14ac:dyDescent="0.25">
      <c r="A155" s="318" t="s">
        <v>1088</v>
      </c>
      <c r="B155" s="319" t="s">
        <v>133</v>
      </c>
      <c r="C155" s="319" t="s">
        <v>155</v>
      </c>
      <c r="D155" s="319" t="s">
        <v>1087</v>
      </c>
      <c r="E155" s="319"/>
      <c r="F155" s="295">
        <f>F159+F156</f>
        <v>41205.500000000007</v>
      </c>
      <c r="G155" s="295">
        <f t="shared" ref="G155" si="87">G159+G156</f>
        <v>40839.214</v>
      </c>
      <c r="H155" s="4">
        <f t="shared" si="77"/>
        <v>99.111074977854884</v>
      </c>
      <c r="J155" s="22"/>
    </row>
    <row r="156" spans="1:10" s="210" customFormat="1" ht="47.25" x14ac:dyDescent="0.25">
      <c r="A156" s="349" t="s">
        <v>883</v>
      </c>
      <c r="B156" s="347" t="s">
        <v>133</v>
      </c>
      <c r="C156" s="347" t="s">
        <v>155</v>
      </c>
      <c r="D156" s="347" t="s">
        <v>1090</v>
      </c>
      <c r="E156" s="347"/>
      <c r="F156" s="337">
        <f>F157</f>
        <v>885.5</v>
      </c>
      <c r="G156" s="337">
        <f t="shared" ref="G156:G157" si="88">G157</f>
        <v>885.46799999999996</v>
      </c>
      <c r="H156" s="337">
        <f t="shared" si="77"/>
        <v>99.996386222473177</v>
      </c>
      <c r="J156" s="22"/>
    </row>
    <row r="157" spans="1:10" s="210" customFormat="1" ht="78.75" x14ac:dyDescent="0.25">
      <c r="A157" s="349" t="s">
        <v>142</v>
      </c>
      <c r="B157" s="347" t="s">
        <v>133</v>
      </c>
      <c r="C157" s="347" t="s">
        <v>155</v>
      </c>
      <c r="D157" s="347" t="s">
        <v>1090</v>
      </c>
      <c r="E157" s="347" t="s">
        <v>143</v>
      </c>
      <c r="F157" s="337">
        <f>F158</f>
        <v>885.5</v>
      </c>
      <c r="G157" s="337">
        <f t="shared" si="88"/>
        <v>885.46799999999996</v>
      </c>
      <c r="H157" s="337">
        <f t="shared" si="77"/>
        <v>99.996386222473177</v>
      </c>
      <c r="J157" s="22"/>
    </row>
    <row r="158" spans="1:10" s="210" customFormat="1" ht="31.5" x14ac:dyDescent="0.25">
      <c r="A158" s="349" t="s">
        <v>144</v>
      </c>
      <c r="B158" s="347" t="s">
        <v>133</v>
      </c>
      <c r="C158" s="347" t="s">
        <v>155</v>
      </c>
      <c r="D158" s="347" t="s">
        <v>1090</v>
      </c>
      <c r="E158" s="347" t="s">
        <v>224</v>
      </c>
      <c r="F158" s="337">
        <f>'Пр.4 ведом.20'!G959</f>
        <v>885.5</v>
      </c>
      <c r="G158" s="337">
        <f>'Пр.4 ведом.20'!H959</f>
        <v>885.46799999999996</v>
      </c>
      <c r="H158" s="337">
        <f t="shared" si="77"/>
        <v>99.996386222473177</v>
      </c>
      <c r="J158" s="22"/>
    </row>
    <row r="159" spans="1:10" s="210" customFormat="1" ht="15.75" x14ac:dyDescent="0.25">
      <c r="A159" s="349" t="s">
        <v>832</v>
      </c>
      <c r="B159" s="347" t="s">
        <v>133</v>
      </c>
      <c r="C159" s="347" t="s">
        <v>155</v>
      </c>
      <c r="D159" s="347" t="s">
        <v>1089</v>
      </c>
      <c r="E159" s="347"/>
      <c r="F159" s="293">
        <f>F160+F162+F166+F164</f>
        <v>40320.000000000007</v>
      </c>
      <c r="G159" s="293">
        <f t="shared" ref="G159" si="89">G160+G162+G166+G164</f>
        <v>39953.745999999999</v>
      </c>
      <c r="H159" s="337">
        <f t="shared" si="77"/>
        <v>99.09163194444443</v>
      </c>
      <c r="J159" s="22"/>
    </row>
    <row r="160" spans="1:10" s="210" customFormat="1" ht="78.75" x14ac:dyDescent="0.25">
      <c r="A160" s="349" t="s">
        <v>142</v>
      </c>
      <c r="B160" s="347" t="s">
        <v>133</v>
      </c>
      <c r="C160" s="347" t="s">
        <v>155</v>
      </c>
      <c r="D160" s="347" t="s">
        <v>1089</v>
      </c>
      <c r="E160" s="347" t="s">
        <v>143</v>
      </c>
      <c r="F160" s="293">
        <f t="shared" ref="F160:G160" si="90">F161</f>
        <v>31276.300000000003</v>
      </c>
      <c r="G160" s="293">
        <f t="shared" si="90"/>
        <v>31244.672999999999</v>
      </c>
      <c r="H160" s="337">
        <f t="shared" si="77"/>
        <v>99.898878703682968</v>
      </c>
      <c r="J160" s="22"/>
    </row>
    <row r="161" spans="1:10" s="210" customFormat="1" ht="31.5" x14ac:dyDescent="0.25">
      <c r="A161" s="46" t="s">
        <v>357</v>
      </c>
      <c r="B161" s="347" t="s">
        <v>133</v>
      </c>
      <c r="C161" s="347" t="s">
        <v>155</v>
      </c>
      <c r="D161" s="347" t="s">
        <v>1089</v>
      </c>
      <c r="E161" s="347" t="s">
        <v>224</v>
      </c>
      <c r="F161" s="293">
        <f>'Пр.4 ведом.20'!G962</f>
        <v>31276.300000000003</v>
      </c>
      <c r="G161" s="293">
        <f>'Пр.4 ведом.20'!H962</f>
        <v>31244.672999999999</v>
      </c>
      <c r="H161" s="337">
        <f t="shared" si="77"/>
        <v>99.898878703682968</v>
      </c>
      <c r="J161" s="22"/>
    </row>
    <row r="162" spans="1:10" s="210" customFormat="1" ht="31.5" x14ac:dyDescent="0.25">
      <c r="A162" s="349" t="s">
        <v>146</v>
      </c>
      <c r="B162" s="347" t="s">
        <v>133</v>
      </c>
      <c r="C162" s="347" t="s">
        <v>155</v>
      </c>
      <c r="D162" s="347" t="s">
        <v>1089</v>
      </c>
      <c r="E162" s="347" t="s">
        <v>147</v>
      </c>
      <c r="F162" s="293">
        <f t="shared" ref="F162:G162" si="91">F163</f>
        <v>8359.8000000000011</v>
      </c>
      <c r="G162" s="293">
        <f t="shared" si="91"/>
        <v>8026.1570000000002</v>
      </c>
      <c r="H162" s="337">
        <f t="shared" si="77"/>
        <v>96.0089595444867</v>
      </c>
      <c r="J162" s="22"/>
    </row>
    <row r="163" spans="1:10" s="210" customFormat="1" ht="47.25" x14ac:dyDescent="0.25">
      <c r="A163" s="349" t="s">
        <v>148</v>
      </c>
      <c r="B163" s="347" t="s">
        <v>133</v>
      </c>
      <c r="C163" s="347" t="s">
        <v>155</v>
      </c>
      <c r="D163" s="347" t="s">
        <v>1089</v>
      </c>
      <c r="E163" s="347" t="s">
        <v>149</v>
      </c>
      <c r="F163" s="293">
        <f>'Пр.4 ведом.20'!G964</f>
        <v>8359.8000000000011</v>
      </c>
      <c r="G163" s="293">
        <f>'Пр.4 ведом.20'!H964</f>
        <v>8026.1570000000002</v>
      </c>
      <c r="H163" s="337">
        <f t="shared" si="77"/>
        <v>96.0089595444867</v>
      </c>
      <c r="J163" s="22"/>
    </row>
    <row r="164" spans="1:10" s="345" customFormat="1" ht="31.5" hidden="1" x14ac:dyDescent="0.25">
      <c r="A164" s="349" t="s">
        <v>263</v>
      </c>
      <c r="B164" s="347" t="s">
        <v>133</v>
      </c>
      <c r="C164" s="347" t="s">
        <v>155</v>
      </c>
      <c r="D164" s="347" t="s">
        <v>1089</v>
      </c>
      <c r="E164" s="347" t="s">
        <v>264</v>
      </c>
      <c r="F164" s="293">
        <f>F165</f>
        <v>0</v>
      </c>
      <c r="G164" s="293">
        <f t="shared" ref="G164" si="92">G165</f>
        <v>0</v>
      </c>
      <c r="H164" s="337" t="e">
        <f t="shared" si="77"/>
        <v>#DIV/0!</v>
      </c>
      <c r="J164" s="348"/>
    </row>
    <row r="165" spans="1:10" s="345" customFormat="1" ht="31.5" hidden="1" x14ac:dyDescent="0.25">
      <c r="A165" s="349" t="s">
        <v>265</v>
      </c>
      <c r="B165" s="347" t="s">
        <v>133</v>
      </c>
      <c r="C165" s="347" t="s">
        <v>155</v>
      </c>
      <c r="D165" s="347" t="s">
        <v>1089</v>
      </c>
      <c r="E165" s="347" t="s">
        <v>266</v>
      </c>
      <c r="F165" s="293">
        <f>'Пр.4 ведом.20'!G966</f>
        <v>0</v>
      </c>
      <c r="G165" s="293">
        <f>'Пр.4 ведом.20'!H966</f>
        <v>0</v>
      </c>
      <c r="H165" s="337" t="e">
        <f t="shared" si="77"/>
        <v>#DIV/0!</v>
      </c>
      <c r="J165" s="348"/>
    </row>
    <row r="166" spans="1:10" s="210" customFormat="1" ht="15.75" x14ac:dyDescent="0.25">
      <c r="A166" s="349" t="s">
        <v>150</v>
      </c>
      <c r="B166" s="347" t="s">
        <v>133</v>
      </c>
      <c r="C166" s="347" t="s">
        <v>155</v>
      </c>
      <c r="D166" s="347" t="s">
        <v>1089</v>
      </c>
      <c r="E166" s="347" t="s">
        <v>160</v>
      </c>
      <c r="F166" s="293">
        <f t="shared" ref="F166:G166" si="93">F167</f>
        <v>683.9</v>
      </c>
      <c r="G166" s="293">
        <f t="shared" si="93"/>
        <v>682.91600000000005</v>
      </c>
      <c r="H166" s="337">
        <f t="shared" si="77"/>
        <v>99.85611931568944</v>
      </c>
      <c r="J166" s="22"/>
    </row>
    <row r="167" spans="1:10" s="210" customFormat="1" ht="15.75" x14ac:dyDescent="0.25">
      <c r="A167" s="349" t="s">
        <v>725</v>
      </c>
      <c r="B167" s="347" t="s">
        <v>133</v>
      </c>
      <c r="C167" s="347" t="s">
        <v>155</v>
      </c>
      <c r="D167" s="347" t="s">
        <v>1089</v>
      </c>
      <c r="E167" s="347" t="s">
        <v>153</v>
      </c>
      <c r="F167" s="293">
        <f>'Пр.4 ведом.20'!G968</f>
        <v>683.9</v>
      </c>
      <c r="G167" s="293">
        <f>'Пр.4 ведом.20'!H968</f>
        <v>682.91600000000005</v>
      </c>
      <c r="H167" s="337">
        <f t="shared" si="77"/>
        <v>99.85611931568944</v>
      </c>
      <c r="J167" s="22"/>
    </row>
    <row r="168" spans="1:10" s="210" customFormat="1" ht="31.5" x14ac:dyDescent="0.25">
      <c r="A168" s="318" t="s">
        <v>914</v>
      </c>
      <c r="B168" s="319" t="s">
        <v>133</v>
      </c>
      <c r="C168" s="319" t="s">
        <v>155</v>
      </c>
      <c r="D168" s="319" t="s">
        <v>909</v>
      </c>
      <c r="E168" s="319"/>
      <c r="F168" s="4">
        <f>F169+F172+F175</f>
        <v>5585.0999999999995</v>
      </c>
      <c r="G168" s="4">
        <f t="shared" ref="G168" si="94">G169+G172+G175</f>
        <v>5449.5101000000004</v>
      </c>
      <c r="H168" s="4">
        <f t="shared" si="77"/>
        <v>97.572292349286514</v>
      </c>
      <c r="J168" s="22"/>
    </row>
    <row r="169" spans="1:10" s="210" customFormat="1" ht="47.25" x14ac:dyDescent="0.25">
      <c r="A169" s="349" t="s">
        <v>403</v>
      </c>
      <c r="B169" s="347" t="s">
        <v>133</v>
      </c>
      <c r="C169" s="347" t="s">
        <v>155</v>
      </c>
      <c r="D169" s="347" t="s">
        <v>1167</v>
      </c>
      <c r="E169" s="347"/>
      <c r="F169" s="337">
        <f>F170</f>
        <v>5425.7999999999993</v>
      </c>
      <c r="G169" s="337">
        <f t="shared" ref="G169:G170" si="95">G170</f>
        <v>5290.3931000000002</v>
      </c>
      <c r="H169" s="337">
        <f t="shared" si="77"/>
        <v>97.504388292970631</v>
      </c>
      <c r="J169" s="22"/>
    </row>
    <row r="170" spans="1:10" s="210" customFormat="1" ht="31.5" x14ac:dyDescent="0.25">
      <c r="A170" s="349" t="s">
        <v>146</v>
      </c>
      <c r="B170" s="347" t="s">
        <v>133</v>
      </c>
      <c r="C170" s="347" t="s">
        <v>155</v>
      </c>
      <c r="D170" s="347" t="s">
        <v>1167</v>
      </c>
      <c r="E170" s="347" t="s">
        <v>147</v>
      </c>
      <c r="F170" s="337">
        <f>F171</f>
        <v>5425.7999999999993</v>
      </c>
      <c r="G170" s="337">
        <f t="shared" si="95"/>
        <v>5290.3931000000002</v>
      </c>
      <c r="H170" s="337">
        <f t="shared" si="77"/>
        <v>97.504388292970631</v>
      </c>
      <c r="J170" s="22"/>
    </row>
    <row r="171" spans="1:10" s="210" customFormat="1" ht="47.25" x14ac:dyDescent="0.25">
      <c r="A171" s="349" t="s">
        <v>148</v>
      </c>
      <c r="B171" s="347" t="s">
        <v>133</v>
      </c>
      <c r="C171" s="347" t="s">
        <v>155</v>
      </c>
      <c r="D171" s="347" t="s">
        <v>1167</v>
      </c>
      <c r="E171" s="347" t="s">
        <v>149</v>
      </c>
      <c r="F171" s="337">
        <f>'Пр.4 ведом.20'!G549</f>
        <v>5425.7999999999993</v>
      </c>
      <c r="G171" s="337">
        <f>'Пр.4 ведом.20'!H549</f>
        <v>5290.3931000000002</v>
      </c>
      <c r="H171" s="337">
        <f t="shared" si="77"/>
        <v>97.504388292970631</v>
      </c>
      <c r="J171" s="22"/>
    </row>
    <row r="172" spans="1:10" s="210" customFormat="1" ht="31.5" hidden="1" x14ac:dyDescent="0.25">
      <c r="A172" s="349" t="s">
        <v>1002</v>
      </c>
      <c r="B172" s="347" t="s">
        <v>133</v>
      </c>
      <c r="C172" s="347" t="s">
        <v>155</v>
      </c>
      <c r="D172" s="347" t="s">
        <v>1168</v>
      </c>
      <c r="E172" s="347"/>
      <c r="F172" s="337">
        <f>F173</f>
        <v>0</v>
      </c>
      <c r="G172" s="337">
        <f t="shared" ref="G172:G173" si="96">G173</f>
        <v>0</v>
      </c>
      <c r="H172" s="337" t="e">
        <f t="shared" si="77"/>
        <v>#DIV/0!</v>
      </c>
      <c r="J172" s="22"/>
    </row>
    <row r="173" spans="1:10" s="210" customFormat="1" ht="31.5" hidden="1" x14ac:dyDescent="0.25">
      <c r="A173" s="349" t="s">
        <v>146</v>
      </c>
      <c r="B173" s="347" t="s">
        <v>133</v>
      </c>
      <c r="C173" s="347" t="s">
        <v>155</v>
      </c>
      <c r="D173" s="347" t="s">
        <v>1168</v>
      </c>
      <c r="E173" s="347" t="s">
        <v>147</v>
      </c>
      <c r="F173" s="337">
        <f>F174</f>
        <v>0</v>
      </c>
      <c r="G173" s="337">
        <f t="shared" si="96"/>
        <v>0</v>
      </c>
      <c r="H173" s="337" t="e">
        <f t="shared" si="77"/>
        <v>#DIV/0!</v>
      </c>
      <c r="J173" s="22"/>
    </row>
    <row r="174" spans="1:10" s="210" customFormat="1" ht="47.25" hidden="1" x14ac:dyDescent="0.25">
      <c r="A174" s="349" t="s">
        <v>148</v>
      </c>
      <c r="B174" s="347" t="s">
        <v>133</v>
      </c>
      <c r="C174" s="347" t="s">
        <v>155</v>
      </c>
      <c r="D174" s="347" t="s">
        <v>1168</v>
      </c>
      <c r="E174" s="347" t="s">
        <v>149</v>
      </c>
      <c r="F174" s="337">
        <f>'Пр.4 ведом.20'!G552</f>
        <v>0</v>
      </c>
      <c r="G174" s="337">
        <f>'Пр.4 ведом.20'!H552</f>
        <v>0</v>
      </c>
      <c r="H174" s="337" t="e">
        <f t="shared" si="77"/>
        <v>#DIV/0!</v>
      </c>
      <c r="J174" s="22"/>
    </row>
    <row r="175" spans="1:10" s="309" customFormat="1" ht="47.25" x14ac:dyDescent="0.25">
      <c r="A175" s="349" t="s">
        <v>1513</v>
      </c>
      <c r="B175" s="347" t="s">
        <v>133</v>
      </c>
      <c r="C175" s="347" t="s">
        <v>155</v>
      </c>
      <c r="D175" s="347" t="s">
        <v>1514</v>
      </c>
      <c r="E175" s="347"/>
      <c r="F175" s="337">
        <f>F176</f>
        <v>159.30000000000001</v>
      </c>
      <c r="G175" s="337">
        <f t="shared" ref="G175:G176" si="97">G176</f>
        <v>159.11699999999999</v>
      </c>
      <c r="H175" s="337">
        <f t="shared" si="77"/>
        <v>99.885122410546117</v>
      </c>
      <c r="J175" s="22"/>
    </row>
    <row r="176" spans="1:10" s="309" customFormat="1" ht="78.75" x14ac:dyDescent="0.25">
      <c r="A176" s="349" t="s">
        <v>142</v>
      </c>
      <c r="B176" s="347" t="s">
        <v>133</v>
      </c>
      <c r="C176" s="347" t="s">
        <v>155</v>
      </c>
      <c r="D176" s="347" t="s">
        <v>1514</v>
      </c>
      <c r="E176" s="347" t="s">
        <v>143</v>
      </c>
      <c r="F176" s="337">
        <f>F177</f>
        <v>159.30000000000001</v>
      </c>
      <c r="G176" s="337">
        <f t="shared" si="97"/>
        <v>159.11699999999999</v>
      </c>
      <c r="H176" s="337">
        <f t="shared" si="77"/>
        <v>99.885122410546117</v>
      </c>
      <c r="J176" s="22"/>
    </row>
    <row r="177" spans="1:10" s="309" customFormat="1" ht="31.5" x14ac:dyDescent="0.25">
      <c r="A177" s="46" t="s">
        <v>357</v>
      </c>
      <c r="B177" s="347" t="s">
        <v>133</v>
      </c>
      <c r="C177" s="347" t="s">
        <v>155</v>
      </c>
      <c r="D177" s="347" t="s">
        <v>1514</v>
      </c>
      <c r="E177" s="347" t="s">
        <v>224</v>
      </c>
      <c r="F177" s="337">
        <f>'Пр.4 ведом.20'!G973</f>
        <v>159.30000000000001</v>
      </c>
      <c r="G177" s="337">
        <f>'Пр.4 ведом.20'!H973</f>
        <v>159.11699999999999</v>
      </c>
      <c r="H177" s="337">
        <f t="shared" si="77"/>
        <v>99.885122410546117</v>
      </c>
      <c r="J177" s="22"/>
    </row>
    <row r="178" spans="1:10" s="210" customFormat="1" ht="31.5" x14ac:dyDescent="0.25">
      <c r="A178" s="318" t="s">
        <v>993</v>
      </c>
      <c r="B178" s="319" t="s">
        <v>133</v>
      </c>
      <c r="C178" s="319" t="s">
        <v>155</v>
      </c>
      <c r="D178" s="319" t="s">
        <v>911</v>
      </c>
      <c r="E178" s="319"/>
      <c r="F178" s="4">
        <f>F179+F184</f>
        <v>5222.4000000000005</v>
      </c>
      <c r="G178" s="4">
        <f t="shared" ref="G178" si="98">G179+G184</f>
        <v>5182.4449999999997</v>
      </c>
      <c r="H178" s="4">
        <f t="shared" si="77"/>
        <v>99.234930300245082</v>
      </c>
      <c r="J178" s="22"/>
    </row>
    <row r="179" spans="1:10" s="210" customFormat="1" ht="31.5" x14ac:dyDescent="0.25">
      <c r="A179" s="349" t="s">
        <v>999</v>
      </c>
      <c r="B179" s="347" t="s">
        <v>133</v>
      </c>
      <c r="C179" s="347" t="s">
        <v>155</v>
      </c>
      <c r="D179" s="347" t="s">
        <v>912</v>
      </c>
      <c r="E179" s="347"/>
      <c r="F179" s="337">
        <f>F180+F182</f>
        <v>5222.4000000000005</v>
      </c>
      <c r="G179" s="337">
        <f t="shared" ref="G179" si="99">G180+G182</f>
        <v>5182.4449999999997</v>
      </c>
      <c r="H179" s="337">
        <f t="shared" si="77"/>
        <v>99.234930300245082</v>
      </c>
      <c r="J179" s="22"/>
    </row>
    <row r="180" spans="1:10" s="210" customFormat="1" ht="78.75" x14ac:dyDescent="0.25">
      <c r="A180" s="349" t="s">
        <v>142</v>
      </c>
      <c r="B180" s="347" t="s">
        <v>133</v>
      </c>
      <c r="C180" s="347" t="s">
        <v>155</v>
      </c>
      <c r="D180" s="347" t="s">
        <v>912</v>
      </c>
      <c r="E180" s="347" t="s">
        <v>143</v>
      </c>
      <c r="F180" s="337">
        <f>F181</f>
        <v>4125.4000000000005</v>
      </c>
      <c r="G180" s="337">
        <f t="shared" ref="G180" si="100">G181</f>
        <v>4124.9283999999998</v>
      </c>
      <c r="H180" s="337">
        <f t="shared" si="77"/>
        <v>99.988568381247859</v>
      </c>
      <c r="J180" s="22"/>
    </row>
    <row r="181" spans="1:10" s="210" customFormat="1" ht="31.5" x14ac:dyDescent="0.25">
      <c r="A181" s="349" t="s">
        <v>223</v>
      </c>
      <c r="B181" s="347" t="s">
        <v>133</v>
      </c>
      <c r="C181" s="347" t="s">
        <v>155</v>
      </c>
      <c r="D181" s="347" t="s">
        <v>912</v>
      </c>
      <c r="E181" s="347" t="s">
        <v>224</v>
      </c>
      <c r="F181" s="337">
        <f>'Пр.4 ведом.20'!G126</f>
        <v>4125.4000000000005</v>
      </c>
      <c r="G181" s="337">
        <f>'Пр.4 ведом.20'!H126</f>
        <v>4124.9283999999998</v>
      </c>
      <c r="H181" s="337">
        <f t="shared" si="77"/>
        <v>99.988568381247859</v>
      </c>
      <c r="J181" s="22"/>
    </row>
    <row r="182" spans="1:10" s="210" customFormat="1" ht="31.5" x14ac:dyDescent="0.25">
      <c r="A182" s="349" t="s">
        <v>213</v>
      </c>
      <c r="B182" s="347" t="s">
        <v>133</v>
      </c>
      <c r="C182" s="347" t="s">
        <v>155</v>
      </c>
      <c r="D182" s="347" t="s">
        <v>912</v>
      </c>
      <c r="E182" s="347" t="s">
        <v>147</v>
      </c>
      <c r="F182" s="337">
        <f>F183</f>
        <v>1097</v>
      </c>
      <c r="G182" s="337">
        <f t="shared" ref="G182" si="101">G183</f>
        <v>1057.5165999999999</v>
      </c>
      <c r="H182" s="337">
        <f t="shared" si="77"/>
        <v>96.400783956244297</v>
      </c>
      <c r="J182" s="22"/>
    </row>
    <row r="183" spans="1:10" s="210" customFormat="1" ht="47.25" x14ac:dyDescent="0.25">
      <c r="A183" s="349" t="s">
        <v>148</v>
      </c>
      <c r="B183" s="347" t="s">
        <v>133</v>
      </c>
      <c r="C183" s="347" t="s">
        <v>155</v>
      </c>
      <c r="D183" s="347" t="s">
        <v>912</v>
      </c>
      <c r="E183" s="347" t="s">
        <v>149</v>
      </c>
      <c r="F183" s="337">
        <f>'Пр.4 ведом.20'!G128</f>
        <v>1097</v>
      </c>
      <c r="G183" s="337">
        <f>'Пр.4 ведом.20'!H128</f>
        <v>1057.5165999999999</v>
      </c>
      <c r="H183" s="337">
        <f t="shared" si="77"/>
        <v>96.400783956244297</v>
      </c>
      <c r="J183" s="22"/>
    </row>
    <row r="184" spans="1:10" s="210" customFormat="1" ht="47.25" hidden="1" x14ac:dyDescent="0.25">
      <c r="A184" s="349" t="s">
        <v>883</v>
      </c>
      <c r="B184" s="347" t="s">
        <v>133</v>
      </c>
      <c r="C184" s="347" t="s">
        <v>155</v>
      </c>
      <c r="D184" s="347" t="s">
        <v>913</v>
      </c>
      <c r="E184" s="347"/>
      <c r="F184" s="337">
        <f>F185</f>
        <v>0</v>
      </c>
      <c r="G184" s="337">
        <f t="shared" ref="G184:G185" si="102">G185</f>
        <v>0</v>
      </c>
      <c r="H184" s="337" t="e">
        <f t="shared" si="77"/>
        <v>#DIV/0!</v>
      </c>
      <c r="J184" s="22"/>
    </row>
    <row r="185" spans="1:10" s="210" customFormat="1" ht="78.75" hidden="1" x14ac:dyDescent="0.25">
      <c r="A185" s="349" t="s">
        <v>142</v>
      </c>
      <c r="B185" s="347" t="s">
        <v>133</v>
      </c>
      <c r="C185" s="347" t="s">
        <v>155</v>
      </c>
      <c r="D185" s="347" t="s">
        <v>913</v>
      </c>
      <c r="E185" s="347" t="s">
        <v>143</v>
      </c>
      <c r="F185" s="337">
        <f>F186</f>
        <v>0</v>
      </c>
      <c r="G185" s="337">
        <f t="shared" si="102"/>
        <v>0</v>
      </c>
      <c r="H185" s="337" t="e">
        <f t="shared" si="77"/>
        <v>#DIV/0!</v>
      </c>
      <c r="J185" s="22"/>
    </row>
    <row r="186" spans="1:10" s="210" customFormat="1" ht="31.5" hidden="1" x14ac:dyDescent="0.25">
      <c r="A186" s="349" t="s">
        <v>144</v>
      </c>
      <c r="B186" s="347" t="s">
        <v>133</v>
      </c>
      <c r="C186" s="347" t="s">
        <v>155</v>
      </c>
      <c r="D186" s="347" t="s">
        <v>913</v>
      </c>
      <c r="E186" s="347" t="s">
        <v>145</v>
      </c>
      <c r="F186" s="337">
        <f>'Пр.4 ведом.20'!G131</f>
        <v>0</v>
      </c>
      <c r="G186" s="337">
        <f>'Пр.4 ведом.20'!H131</f>
        <v>0</v>
      </c>
      <c r="H186" s="337" t="e">
        <f t="shared" si="77"/>
        <v>#DIV/0!</v>
      </c>
      <c r="J186" s="22"/>
    </row>
    <row r="187" spans="1:10" ht="47.25" x14ac:dyDescent="0.25">
      <c r="A187" s="318" t="s">
        <v>358</v>
      </c>
      <c r="B187" s="312" t="s">
        <v>133</v>
      </c>
      <c r="C187" s="312" t="s">
        <v>155</v>
      </c>
      <c r="D187" s="312" t="s">
        <v>359</v>
      </c>
      <c r="E187" s="312"/>
      <c r="F187" s="4">
        <f>F188</f>
        <v>144.39999999999998</v>
      </c>
      <c r="G187" s="4">
        <f t="shared" ref="G187:G188" si="103">G188</f>
        <v>144.27000000000001</v>
      </c>
      <c r="H187" s="4">
        <f t="shared" si="77"/>
        <v>99.909972299168999</v>
      </c>
    </row>
    <row r="188" spans="1:10" ht="94.5" x14ac:dyDescent="0.25">
      <c r="A188" s="41" t="s">
        <v>395</v>
      </c>
      <c r="B188" s="312" t="s">
        <v>133</v>
      </c>
      <c r="C188" s="312" t="s">
        <v>155</v>
      </c>
      <c r="D188" s="312" t="s">
        <v>396</v>
      </c>
      <c r="E188" s="312"/>
      <c r="F188" s="4">
        <f>F189</f>
        <v>144.39999999999998</v>
      </c>
      <c r="G188" s="4">
        <f t="shared" si="103"/>
        <v>144.27000000000001</v>
      </c>
      <c r="H188" s="4">
        <f t="shared" si="77"/>
        <v>99.909972299168999</v>
      </c>
    </row>
    <row r="189" spans="1:10" s="210" customFormat="1" ht="63" x14ac:dyDescent="0.25">
      <c r="A189" s="259" t="s">
        <v>1217</v>
      </c>
      <c r="B189" s="312" t="s">
        <v>133</v>
      </c>
      <c r="C189" s="312" t="s">
        <v>155</v>
      </c>
      <c r="D189" s="312" t="s">
        <v>931</v>
      </c>
      <c r="E189" s="312"/>
      <c r="F189" s="4">
        <f>F190+F193</f>
        <v>144.39999999999998</v>
      </c>
      <c r="G189" s="4">
        <f t="shared" ref="G189" si="104">G190+G193</f>
        <v>144.27000000000001</v>
      </c>
      <c r="H189" s="4">
        <f t="shared" si="77"/>
        <v>99.909972299168999</v>
      </c>
    </row>
    <row r="190" spans="1:10" ht="31.5" x14ac:dyDescent="0.25">
      <c r="A190" s="99" t="s">
        <v>1218</v>
      </c>
      <c r="B190" s="324" t="s">
        <v>133</v>
      </c>
      <c r="C190" s="324" t="s">
        <v>155</v>
      </c>
      <c r="D190" s="324" t="s">
        <v>932</v>
      </c>
      <c r="E190" s="324"/>
      <c r="F190" s="337">
        <f t="shared" ref="F190:G191" si="105">F191</f>
        <v>144.39999999999998</v>
      </c>
      <c r="G190" s="337">
        <f t="shared" si="105"/>
        <v>144.27000000000001</v>
      </c>
      <c r="H190" s="337">
        <f t="shared" si="77"/>
        <v>99.909972299168999</v>
      </c>
    </row>
    <row r="191" spans="1:10" ht="31.5" x14ac:dyDescent="0.25">
      <c r="A191" s="323" t="s">
        <v>146</v>
      </c>
      <c r="B191" s="324" t="s">
        <v>133</v>
      </c>
      <c r="C191" s="324" t="s">
        <v>155</v>
      </c>
      <c r="D191" s="324" t="s">
        <v>932</v>
      </c>
      <c r="E191" s="324" t="s">
        <v>147</v>
      </c>
      <c r="F191" s="337">
        <f t="shared" si="105"/>
        <v>144.39999999999998</v>
      </c>
      <c r="G191" s="337">
        <f t="shared" si="105"/>
        <v>144.27000000000001</v>
      </c>
      <c r="H191" s="337">
        <f t="shared" si="77"/>
        <v>99.909972299168999</v>
      </c>
    </row>
    <row r="192" spans="1:10" ht="47.25" x14ac:dyDescent="0.25">
      <c r="A192" s="323" t="s">
        <v>148</v>
      </c>
      <c r="B192" s="324" t="s">
        <v>133</v>
      </c>
      <c r="C192" s="324" t="s">
        <v>155</v>
      </c>
      <c r="D192" s="324" t="s">
        <v>932</v>
      </c>
      <c r="E192" s="324" t="s">
        <v>149</v>
      </c>
      <c r="F192" s="337">
        <f>'Пр.4 ведом.20'!G236</f>
        <v>144.39999999999998</v>
      </c>
      <c r="G192" s="337">
        <f>'Пр.4 ведом.20'!H236</f>
        <v>144.27000000000001</v>
      </c>
      <c r="H192" s="337">
        <f t="shared" si="77"/>
        <v>99.909972299168999</v>
      </c>
    </row>
    <row r="193" spans="1:10" ht="47.25" hidden="1" x14ac:dyDescent="0.25">
      <c r="A193" s="35" t="s">
        <v>934</v>
      </c>
      <c r="B193" s="347" t="s">
        <v>133</v>
      </c>
      <c r="C193" s="347" t="s">
        <v>155</v>
      </c>
      <c r="D193" s="347" t="s">
        <v>933</v>
      </c>
      <c r="E193" s="319"/>
      <c r="F193" s="337">
        <f>F194</f>
        <v>0</v>
      </c>
      <c r="G193" s="337">
        <f t="shared" ref="G193:G194" si="106">G194</f>
        <v>0</v>
      </c>
      <c r="H193" s="337" t="e">
        <f t="shared" si="77"/>
        <v>#DIV/0!</v>
      </c>
    </row>
    <row r="194" spans="1:10" ht="31.5" hidden="1" x14ac:dyDescent="0.25">
      <c r="A194" s="349" t="s">
        <v>146</v>
      </c>
      <c r="B194" s="347" t="s">
        <v>133</v>
      </c>
      <c r="C194" s="347" t="s">
        <v>155</v>
      </c>
      <c r="D194" s="347" t="s">
        <v>933</v>
      </c>
      <c r="E194" s="347" t="s">
        <v>147</v>
      </c>
      <c r="F194" s="337">
        <f>F195</f>
        <v>0</v>
      </c>
      <c r="G194" s="337">
        <f t="shared" si="106"/>
        <v>0</v>
      </c>
      <c r="H194" s="337" t="e">
        <f t="shared" si="77"/>
        <v>#DIV/0!</v>
      </c>
      <c r="J194" s="22"/>
    </row>
    <row r="195" spans="1:10" ht="47.25" hidden="1" x14ac:dyDescent="0.25">
      <c r="A195" s="349" t="s">
        <v>148</v>
      </c>
      <c r="B195" s="347" t="s">
        <v>133</v>
      </c>
      <c r="C195" s="347" t="s">
        <v>155</v>
      </c>
      <c r="D195" s="347" t="s">
        <v>933</v>
      </c>
      <c r="E195" s="347" t="s">
        <v>149</v>
      </c>
      <c r="F195" s="337">
        <f>'Пр.4 ведом.20'!G239</f>
        <v>0</v>
      </c>
      <c r="G195" s="337">
        <f>'Пр.4 ведом.20'!H239</f>
        <v>0</v>
      </c>
      <c r="H195" s="337" t="e">
        <f t="shared" si="77"/>
        <v>#DIV/0!</v>
      </c>
    </row>
    <row r="196" spans="1:10" ht="47.25" x14ac:dyDescent="0.25">
      <c r="A196" s="318" t="s">
        <v>349</v>
      </c>
      <c r="B196" s="319" t="s">
        <v>133</v>
      </c>
      <c r="C196" s="319" t="s">
        <v>155</v>
      </c>
      <c r="D196" s="319" t="s">
        <v>350</v>
      </c>
      <c r="E196" s="319"/>
      <c r="F196" s="325">
        <f>F197</f>
        <v>136.19999999999999</v>
      </c>
      <c r="G196" s="325">
        <f t="shared" ref="G196" si="107">G197</f>
        <v>86.2</v>
      </c>
      <c r="H196" s="4">
        <f t="shared" si="77"/>
        <v>63.289280469897214</v>
      </c>
    </row>
    <row r="197" spans="1:10" ht="31.5" x14ac:dyDescent="0.25">
      <c r="A197" s="318" t="s">
        <v>1223</v>
      </c>
      <c r="B197" s="319" t="s">
        <v>133</v>
      </c>
      <c r="C197" s="319" t="s">
        <v>155</v>
      </c>
      <c r="D197" s="319" t="s">
        <v>1224</v>
      </c>
      <c r="E197" s="319"/>
      <c r="F197" s="325">
        <f>F198+F204+F207+F210+F216+F201+F213</f>
        <v>136.19999999999999</v>
      </c>
      <c r="G197" s="325">
        <f t="shared" ref="G197" si="108">G198+G204+G207+G210+G216+G201+G213</f>
        <v>86.2</v>
      </c>
      <c r="H197" s="4">
        <f t="shared" si="77"/>
        <v>63.289280469897214</v>
      </c>
    </row>
    <row r="198" spans="1:10" ht="31.5" x14ac:dyDescent="0.25">
      <c r="A198" s="98" t="s">
        <v>351</v>
      </c>
      <c r="B198" s="347" t="s">
        <v>133</v>
      </c>
      <c r="C198" s="347" t="s">
        <v>155</v>
      </c>
      <c r="D198" s="347" t="s">
        <v>1225</v>
      </c>
      <c r="E198" s="347"/>
      <c r="F198" s="313">
        <f t="shared" ref="F198:G199" si="109">F199</f>
        <v>120</v>
      </c>
      <c r="G198" s="313">
        <f t="shared" si="109"/>
        <v>70</v>
      </c>
      <c r="H198" s="337">
        <f t="shared" si="77"/>
        <v>58.333333333333336</v>
      </c>
    </row>
    <row r="199" spans="1:10" ht="31.5" x14ac:dyDescent="0.25">
      <c r="A199" s="349" t="s">
        <v>146</v>
      </c>
      <c r="B199" s="347" t="s">
        <v>133</v>
      </c>
      <c r="C199" s="347" t="s">
        <v>155</v>
      </c>
      <c r="D199" s="347" t="s">
        <v>1225</v>
      </c>
      <c r="E199" s="347" t="s">
        <v>147</v>
      </c>
      <c r="F199" s="313">
        <f>F200</f>
        <v>120</v>
      </c>
      <c r="G199" s="313">
        <f t="shared" si="109"/>
        <v>70</v>
      </c>
      <c r="H199" s="337">
        <f t="shared" si="77"/>
        <v>58.333333333333336</v>
      </c>
    </row>
    <row r="200" spans="1:10" ht="47.25" x14ac:dyDescent="0.25">
      <c r="A200" s="349" t="s">
        <v>148</v>
      </c>
      <c r="B200" s="347" t="s">
        <v>133</v>
      </c>
      <c r="C200" s="347" t="s">
        <v>155</v>
      </c>
      <c r="D200" s="347" t="s">
        <v>1225</v>
      </c>
      <c r="E200" s="347" t="s">
        <v>149</v>
      </c>
      <c r="F200" s="313">
        <f>'Пр.4 ведом.20'!G581+'Пр.4 ведом.20'!G244+'Пр.4 ведом.20'!G856</f>
        <v>120</v>
      </c>
      <c r="G200" s="313">
        <f>'Пр.4 ведом.20'!H581+'Пр.4 ведом.20'!H244+'Пр.4 ведом.20'!H856</f>
        <v>70</v>
      </c>
      <c r="H200" s="337">
        <f t="shared" si="77"/>
        <v>58.333333333333336</v>
      </c>
    </row>
    <row r="201" spans="1:10" s="210" customFormat="1" ht="47.25" hidden="1" x14ac:dyDescent="0.25">
      <c r="A201" s="98" t="s">
        <v>831</v>
      </c>
      <c r="B201" s="347" t="s">
        <v>133</v>
      </c>
      <c r="C201" s="347" t="s">
        <v>155</v>
      </c>
      <c r="D201" s="347" t="s">
        <v>1230</v>
      </c>
      <c r="E201" s="347"/>
      <c r="F201" s="313">
        <f>F202</f>
        <v>0</v>
      </c>
      <c r="G201" s="313">
        <f t="shared" ref="G201:G202" si="110">G202</f>
        <v>0</v>
      </c>
      <c r="H201" s="337" t="e">
        <f t="shared" ref="H201:H264" si="111">G201/F201*100</f>
        <v>#DIV/0!</v>
      </c>
    </row>
    <row r="202" spans="1:10" s="210" customFormat="1" ht="31.5" hidden="1" x14ac:dyDescent="0.25">
      <c r="A202" s="349" t="s">
        <v>146</v>
      </c>
      <c r="B202" s="347" t="s">
        <v>133</v>
      </c>
      <c r="C202" s="347" t="s">
        <v>155</v>
      </c>
      <c r="D202" s="347" t="s">
        <v>1230</v>
      </c>
      <c r="E202" s="347" t="s">
        <v>147</v>
      </c>
      <c r="F202" s="313">
        <f>F203</f>
        <v>0</v>
      </c>
      <c r="G202" s="313">
        <f t="shared" si="110"/>
        <v>0</v>
      </c>
      <c r="H202" s="337" t="e">
        <f t="shared" si="111"/>
        <v>#DIV/0!</v>
      </c>
    </row>
    <row r="203" spans="1:10" s="210" customFormat="1" ht="37.5" hidden="1" customHeight="1" x14ac:dyDescent="0.25">
      <c r="A203" s="349" t="s">
        <v>148</v>
      </c>
      <c r="B203" s="347" t="s">
        <v>133</v>
      </c>
      <c r="C203" s="347" t="s">
        <v>155</v>
      </c>
      <c r="D203" s="347" t="s">
        <v>1230</v>
      </c>
      <c r="E203" s="347" t="s">
        <v>149</v>
      </c>
      <c r="F203" s="313">
        <v>0</v>
      </c>
      <c r="G203" s="313">
        <v>0</v>
      </c>
      <c r="H203" s="337" t="e">
        <f t="shared" si="111"/>
        <v>#DIV/0!</v>
      </c>
    </row>
    <row r="204" spans="1:10" ht="31.5" x14ac:dyDescent="0.25">
      <c r="A204" s="349" t="s">
        <v>353</v>
      </c>
      <c r="B204" s="347" t="s">
        <v>133</v>
      </c>
      <c r="C204" s="347" t="s">
        <v>155</v>
      </c>
      <c r="D204" s="347" t="s">
        <v>1226</v>
      </c>
      <c r="E204" s="347"/>
      <c r="F204" s="313">
        <f>F205</f>
        <v>16.2</v>
      </c>
      <c r="G204" s="313">
        <f t="shared" ref="G204:G205" si="112">G205</f>
        <v>16.2</v>
      </c>
      <c r="H204" s="337">
        <f t="shared" si="111"/>
        <v>100</v>
      </c>
    </row>
    <row r="205" spans="1:10" ht="31.5" x14ac:dyDescent="0.25">
      <c r="A205" s="349" t="s">
        <v>146</v>
      </c>
      <c r="B205" s="347" t="s">
        <v>133</v>
      </c>
      <c r="C205" s="347" t="s">
        <v>155</v>
      </c>
      <c r="D205" s="347" t="s">
        <v>1226</v>
      </c>
      <c r="E205" s="347" t="s">
        <v>147</v>
      </c>
      <c r="F205" s="313">
        <f>F206</f>
        <v>16.2</v>
      </c>
      <c r="G205" s="313">
        <f t="shared" si="112"/>
        <v>16.2</v>
      </c>
      <c r="H205" s="337">
        <f t="shared" si="111"/>
        <v>100</v>
      </c>
    </row>
    <row r="206" spans="1:10" ht="39.200000000000003" customHeight="1" x14ac:dyDescent="0.25">
      <c r="A206" s="349" t="s">
        <v>148</v>
      </c>
      <c r="B206" s="347" t="s">
        <v>133</v>
      </c>
      <c r="C206" s="347" t="s">
        <v>155</v>
      </c>
      <c r="D206" s="347" t="s">
        <v>1226</v>
      </c>
      <c r="E206" s="347" t="s">
        <v>149</v>
      </c>
      <c r="F206" s="313">
        <f>'Пр.4 ведом.20'!G247</f>
        <v>16.2</v>
      </c>
      <c r="G206" s="313">
        <f>'Пр.4 ведом.20'!H247</f>
        <v>16.2</v>
      </c>
      <c r="H206" s="337">
        <f t="shared" si="111"/>
        <v>100</v>
      </c>
    </row>
    <row r="207" spans="1:10" ht="47.25" hidden="1" x14ac:dyDescent="0.25">
      <c r="A207" s="31" t="s">
        <v>792</v>
      </c>
      <c r="B207" s="347" t="s">
        <v>133</v>
      </c>
      <c r="C207" s="347" t="s">
        <v>155</v>
      </c>
      <c r="D207" s="347" t="s">
        <v>1227</v>
      </c>
      <c r="E207" s="347"/>
      <c r="F207" s="313">
        <f t="shared" ref="F207:G208" si="113">F208</f>
        <v>0</v>
      </c>
      <c r="G207" s="313">
        <f t="shared" si="113"/>
        <v>0</v>
      </c>
      <c r="H207" s="337" t="e">
        <f t="shared" si="111"/>
        <v>#DIV/0!</v>
      </c>
    </row>
    <row r="208" spans="1:10" ht="31.5" hidden="1" x14ac:dyDescent="0.25">
      <c r="A208" s="349" t="s">
        <v>146</v>
      </c>
      <c r="B208" s="347" t="s">
        <v>133</v>
      </c>
      <c r="C208" s="347" t="s">
        <v>155</v>
      </c>
      <c r="D208" s="347" t="s">
        <v>1227</v>
      </c>
      <c r="E208" s="347" t="s">
        <v>147</v>
      </c>
      <c r="F208" s="313">
        <f>F209</f>
        <v>0</v>
      </c>
      <c r="G208" s="313">
        <f t="shared" si="113"/>
        <v>0</v>
      </c>
      <c r="H208" s="337" t="e">
        <f t="shared" si="111"/>
        <v>#DIV/0!</v>
      </c>
    </row>
    <row r="209" spans="1:8" ht="47.25" hidden="1" x14ac:dyDescent="0.25">
      <c r="A209" s="349" t="s">
        <v>148</v>
      </c>
      <c r="B209" s="347" t="s">
        <v>133</v>
      </c>
      <c r="C209" s="347" t="s">
        <v>155</v>
      </c>
      <c r="D209" s="347" t="s">
        <v>1227</v>
      </c>
      <c r="E209" s="347" t="s">
        <v>149</v>
      </c>
      <c r="F209" s="313">
        <f>'Пр.4 ведом.20'!G250</f>
        <v>0</v>
      </c>
      <c r="G209" s="313">
        <f>'Пр.4 ведом.20'!H250</f>
        <v>0</v>
      </c>
      <c r="H209" s="337" t="e">
        <f t="shared" si="111"/>
        <v>#DIV/0!</v>
      </c>
    </row>
    <row r="210" spans="1:8" ht="15.75" hidden="1" x14ac:dyDescent="0.25">
      <c r="A210" s="349" t="s">
        <v>1142</v>
      </c>
      <c r="B210" s="347" t="s">
        <v>133</v>
      </c>
      <c r="C210" s="347" t="s">
        <v>155</v>
      </c>
      <c r="D210" s="347" t="s">
        <v>1228</v>
      </c>
      <c r="E210" s="347"/>
      <c r="F210" s="313">
        <f t="shared" ref="F210:G211" si="114">F211</f>
        <v>0</v>
      </c>
      <c r="G210" s="313">
        <f t="shared" si="114"/>
        <v>0</v>
      </c>
      <c r="H210" s="337" t="e">
        <f t="shared" si="111"/>
        <v>#DIV/0!</v>
      </c>
    </row>
    <row r="211" spans="1:8" ht="31.5" hidden="1" x14ac:dyDescent="0.25">
      <c r="A211" s="349" t="s">
        <v>146</v>
      </c>
      <c r="B211" s="347" t="s">
        <v>133</v>
      </c>
      <c r="C211" s="347" t="s">
        <v>155</v>
      </c>
      <c r="D211" s="347" t="s">
        <v>1228</v>
      </c>
      <c r="E211" s="347" t="s">
        <v>147</v>
      </c>
      <c r="F211" s="313">
        <f>F212</f>
        <v>0</v>
      </c>
      <c r="G211" s="313">
        <f t="shared" si="114"/>
        <v>0</v>
      </c>
      <c r="H211" s="337" t="e">
        <f t="shared" si="111"/>
        <v>#DIV/0!</v>
      </c>
    </row>
    <row r="212" spans="1:8" ht="47.25" hidden="1" x14ac:dyDescent="0.25">
      <c r="A212" s="349" t="s">
        <v>148</v>
      </c>
      <c r="B212" s="347" t="s">
        <v>133</v>
      </c>
      <c r="C212" s="347" t="s">
        <v>155</v>
      </c>
      <c r="D212" s="347" t="s">
        <v>1228</v>
      </c>
      <c r="E212" s="347" t="s">
        <v>149</v>
      </c>
      <c r="F212" s="313">
        <f>'Пр.4 ведом.20'!G253</f>
        <v>0</v>
      </c>
      <c r="G212" s="313">
        <f>'Пр.4 ведом.20'!H253</f>
        <v>0</v>
      </c>
      <c r="H212" s="337" t="e">
        <f t="shared" si="111"/>
        <v>#DIV/0!</v>
      </c>
    </row>
    <row r="213" spans="1:8" s="210" customFormat="1" ht="21.75" hidden="1" customHeight="1" x14ac:dyDescent="0.25">
      <c r="A213" s="31" t="s">
        <v>1257</v>
      </c>
      <c r="B213" s="347" t="s">
        <v>133</v>
      </c>
      <c r="C213" s="347" t="s">
        <v>155</v>
      </c>
      <c r="D213" s="347" t="s">
        <v>1258</v>
      </c>
      <c r="E213" s="347"/>
      <c r="F213" s="313">
        <f>F214</f>
        <v>0</v>
      </c>
      <c r="G213" s="313">
        <f t="shared" ref="G213:G214" si="115">G214</f>
        <v>0</v>
      </c>
      <c r="H213" s="337" t="e">
        <f t="shared" si="111"/>
        <v>#DIV/0!</v>
      </c>
    </row>
    <row r="214" spans="1:8" s="210" customFormat="1" ht="31.5" hidden="1" x14ac:dyDescent="0.25">
      <c r="A214" s="349" t="s">
        <v>146</v>
      </c>
      <c r="B214" s="347" t="s">
        <v>133</v>
      </c>
      <c r="C214" s="347" t="s">
        <v>155</v>
      </c>
      <c r="D214" s="347" t="s">
        <v>1258</v>
      </c>
      <c r="E214" s="347" t="s">
        <v>147</v>
      </c>
      <c r="F214" s="313">
        <f>F215</f>
        <v>0</v>
      </c>
      <c r="G214" s="313">
        <f t="shared" si="115"/>
        <v>0</v>
      </c>
      <c r="H214" s="337" t="e">
        <f t="shared" si="111"/>
        <v>#DIV/0!</v>
      </c>
    </row>
    <row r="215" spans="1:8" s="210" customFormat="1" ht="47.25" hidden="1" x14ac:dyDescent="0.25">
      <c r="A215" s="349" t="s">
        <v>148</v>
      </c>
      <c r="B215" s="347" t="s">
        <v>133</v>
      </c>
      <c r="C215" s="347" t="s">
        <v>155</v>
      </c>
      <c r="D215" s="347" t="s">
        <v>1258</v>
      </c>
      <c r="E215" s="347" t="s">
        <v>149</v>
      </c>
      <c r="F215" s="313">
        <v>0</v>
      </c>
      <c r="G215" s="313">
        <v>0</v>
      </c>
      <c r="H215" s="337" t="e">
        <f t="shared" si="111"/>
        <v>#DIV/0!</v>
      </c>
    </row>
    <row r="216" spans="1:8" ht="31.5" hidden="1" x14ac:dyDescent="0.25">
      <c r="A216" s="31" t="s">
        <v>793</v>
      </c>
      <c r="B216" s="347" t="s">
        <v>133</v>
      </c>
      <c r="C216" s="347" t="s">
        <v>155</v>
      </c>
      <c r="D216" s="347" t="s">
        <v>1229</v>
      </c>
      <c r="E216" s="347"/>
      <c r="F216" s="313">
        <f>F217</f>
        <v>0</v>
      </c>
      <c r="G216" s="313">
        <f t="shared" ref="G216:G217" si="116">G217</f>
        <v>0</v>
      </c>
      <c r="H216" s="337" t="e">
        <f t="shared" si="111"/>
        <v>#DIV/0!</v>
      </c>
    </row>
    <row r="217" spans="1:8" ht="31.5" hidden="1" x14ac:dyDescent="0.25">
      <c r="A217" s="349" t="s">
        <v>146</v>
      </c>
      <c r="B217" s="347" t="s">
        <v>133</v>
      </c>
      <c r="C217" s="347" t="s">
        <v>155</v>
      </c>
      <c r="D217" s="347" t="s">
        <v>1229</v>
      </c>
      <c r="E217" s="347" t="s">
        <v>147</v>
      </c>
      <c r="F217" s="313">
        <f>F218</f>
        <v>0</v>
      </c>
      <c r="G217" s="313">
        <f t="shared" si="116"/>
        <v>0</v>
      </c>
      <c r="H217" s="337" t="e">
        <f t="shared" si="111"/>
        <v>#DIV/0!</v>
      </c>
    </row>
    <row r="218" spans="1:8" ht="47.25" hidden="1" x14ac:dyDescent="0.25">
      <c r="A218" s="349" t="s">
        <v>148</v>
      </c>
      <c r="B218" s="347" t="s">
        <v>133</v>
      </c>
      <c r="C218" s="347" t="s">
        <v>155</v>
      </c>
      <c r="D218" s="347" t="s">
        <v>1229</v>
      </c>
      <c r="E218" s="347" t="s">
        <v>149</v>
      </c>
      <c r="F218" s="313">
        <f>'Пр.4 ведом.20'!G256</f>
        <v>0</v>
      </c>
      <c r="G218" s="313">
        <f>'Пр.4 ведом.20'!H256</f>
        <v>0</v>
      </c>
      <c r="H218" s="337" t="e">
        <f t="shared" si="111"/>
        <v>#DIV/0!</v>
      </c>
    </row>
    <row r="219" spans="1:8" ht="63" x14ac:dyDescent="0.25">
      <c r="A219" s="41" t="s">
        <v>728</v>
      </c>
      <c r="B219" s="8" t="s">
        <v>133</v>
      </c>
      <c r="C219" s="8" t="s">
        <v>155</v>
      </c>
      <c r="D219" s="319" t="s">
        <v>726</v>
      </c>
      <c r="E219" s="228"/>
      <c r="F219" s="325">
        <f>F220+F224</f>
        <v>48.4</v>
      </c>
      <c r="G219" s="325">
        <f t="shared" ref="G219" si="117">G220+G224</f>
        <v>45.335999999999999</v>
      </c>
      <c r="H219" s="4">
        <f t="shared" si="111"/>
        <v>93.669421487603316</v>
      </c>
    </row>
    <row r="220" spans="1:8" s="210" customFormat="1" ht="47.25" x14ac:dyDescent="0.25">
      <c r="A220" s="216" t="s">
        <v>890</v>
      </c>
      <c r="B220" s="319" t="s">
        <v>133</v>
      </c>
      <c r="C220" s="319" t="s">
        <v>155</v>
      </c>
      <c r="D220" s="319" t="s">
        <v>896</v>
      </c>
      <c r="E220" s="319"/>
      <c r="F220" s="325">
        <f>F221</f>
        <v>33.4</v>
      </c>
      <c r="G220" s="325">
        <f t="shared" ref="G220" si="118">G221</f>
        <v>30.335999999999999</v>
      </c>
      <c r="H220" s="4">
        <f t="shared" si="111"/>
        <v>90.82634730538922</v>
      </c>
    </row>
    <row r="221" spans="1:8" ht="39.75" customHeight="1" x14ac:dyDescent="0.25">
      <c r="A221" s="99" t="s">
        <v>797</v>
      </c>
      <c r="B221" s="347" t="s">
        <v>133</v>
      </c>
      <c r="C221" s="347" t="s">
        <v>155</v>
      </c>
      <c r="D221" s="347" t="s">
        <v>891</v>
      </c>
      <c r="E221" s="347"/>
      <c r="F221" s="313">
        <f t="shared" ref="F221:G222" si="119">F222</f>
        <v>33.4</v>
      </c>
      <c r="G221" s="313">
        <f t="shared" si="119"/>
        <v>30.335999999999999</v>
      </c>
      <c r="H221" s="337">
        <f t="shared" si="111"/>
        <v>90.82634730538922</v>
      </c>
    </row>
    <row r="222" spans="1:8" ht="31.5" x14ac:dyDescent="0.25">
      <c r="A222" s="349" t="s">
        <v>146</v>
      </c>
      <c r="B222" s="347" t="s">
        <v>133</v>
      </c>
      <c r="C222" s="347" t="s">
        <v>155</v>
      </c>
      <c r="D222" s="347" t="s">
        <v>891</v>
      </c>
      <c r="E222" s="347" t="s">
        <v>147</v>
      </c>
      <c r="F222" s="313">
        <f t="shared" si="119"/>
        <v>33.4</v>
      </c>
      <c r="G222" s="313">
        <f t="shared" si="119"/>
        <v>30.335999999999999</v>
      </c>
      <c r="H222" s="337">
        <f t="shared" si="111"/>
        <v>90.82634730538922</v>
      </c>
    </row>
    <row r="223" spans="1:8" ht="47.25" x14ac:dyDescent="0.25">
      <c r="A223" s="349" t="s">
        <v>148</v>
      </c>
      <c r="B223" s="347" t="s">
        <v>133</v>
      </c>
      <c r="C223" s="347" t="s">
        <v>155</v>
      </c>
      <c r="D223" s="347" t="s">
        <v>891</v>
      </c>
      <c r="E223" s="347" t="s">
        <v>149</v>
      </c>
      <c r="F223" s="313">
        <f>'Пр.4 ведом.20'!G261+'Пр.4 ведом.20'!G136</f>
        <v>33.4</v>
      </c>
      <c r="G223" s="313">
        <f>'Пр.4 ведом.20'!H261+'Пр.4 ведом.20'!H136</f>
        <v>30.335999999999999</v>
      </c>
      <c r="H223" s="337">
        <f t="shared" si="111"/>
        <v>90.82634730538922</v>
      </c>
    </row>
    <row r="224" spans="1:8" s="210" customFormat="1" ht="31.5" x14ac:dyDescent="0.25">
      <c r="A224" s="217" t="s">
        <v>1186</v>
      </c>
      <c r="B224" s="319" t="s">
        <v>133</v>
      </c>
      <c r="C224" s="319" t="s">
        <v>155</v>
      </c>
      <c r="D224" s="319" t="s">
        <v>897</v>
      </c>
      <c r="E224" s="228"/>
      <c r="F224" s="325">
        <f>F225</f>
        <v>15</v>
      </c>
      <c r="G224" s="325">
        <f t="shared" ref="G224" si="120">G225</f>
        <v>15</v>
      </c>
      <c r="H224" s="4">
        <f t="shared" si="111"/>
        <v>100</v>
      </c>
    </row>
    <row r="225" spans="1:8" ht="33" customHeight="1" x14ac:dyDescent="0.25">
      <c r="A225" s="99" t="s">
        <v>798</v>
      </c>
      <c r="B225" s="347" t="s">
        <v>133</v>
      </c>
      <c r="C225" s="347" t="s">
        <v>155</v>
      </c>
      <c r="D225" s="347" t="s">
        <v>892</v>
      </c>
      <c r="E225" s="32"/>
      <c r="F225" s="313">
        <f t="shared" ref="F225:G226" si="121">F226</f>
        <v>15</v>
      </c>
      <c r="G225" s="313">
        <f t="shared" si="121"/>
        <v>15</v>
      </c>
      <c r="H225" s="337">
        <f t="shared" si="111"/>
        <v>100</v>
      </c>
    </row>
    <row r="226" spans="1:8" ht="31.7" customHeight="1" x14ac:dyDescent="0.25">
      <c r="A226" s="349" t="s">
        <v>146</v>
      </c>
      <c r="B226" s="347" t="s">
        <v>133</v>
      </c>
      <c r="C226" s="347" t="s">
        <v>155</v>
      </c>
      <c r="D226" s="347" t="s">
        <v>892</v>
      </c>
      <c r="E226" s="32" t="s">
        <v>147</v>
      </c>
      <c r="F226" s="313">
        <f t="shared" si="121"/>
        <v>15</v>
      </c>
      <c r="G226" s="313">
        <f t="shared" si="121"/>
        <v>15</v>
      </c>
      <c r="H226" s="337">
        <f t="shared" si="111"/>
        <v>100</v>
      </c>
    </row>
    <row r="227" spans="1:8" ht="40.700000000000003" customHeight="1" x14ac:dyDescent="0.25">
      <c r="A227" s="349" t="s">
        <v>148</v>
      </c>
      <c r="B227" s="347" t="s">
        <v>133</v>
      </c>
      <c r="C227" s="347" t="s">
        <v>155</v>
      </c>
      <c r="D227" s="347" t="s">
        <v>892</v>
      </c>
      <c r="E227" s="32" t="s">
        <v>149</v>
      </c>
      <c r="F227" s="313">
        <f>'Пр.4 ведом.20'!G140</f>
        <v>15</v>
      </c>
      <c r="G227" s="313">
        <f>'Пр.4 ведом.20'!H140</f>
        <v>15</v>
      </c>
      <c r="H227" s="337">
        <f t="shared" si="111"/>
        <v>100</v>
      </c>
    </row>
    <row r="228" spans="1:8" ht="63" hidden="1" x14ac:dyDescent="0.25">
      <c r="A228" s="222" t="s">
        <v>802</v>
      </c>
      <c r="B228" s="319" t="s">
        <v>133</v>
      </c>
      <c r="C228" s="319" t="s">
        <v>155</v>
      </c>
      <c r="D228" s="319" t="s">
        <v>804</v>
      </c>
      <c r="E228" s="228"/>
      <c r="F228" s="325">
        <f>F230</f>
        <v>0</v>
      </c>
      <c r="G228" s="325">
        <f t="shared" ref="G228" si="122">G230</f>
        <v>0</v>
      </c>
      <c r="H228" s="337" t="e">
        <f t="shared" si="111"/>
        <v>#DIV/0!</v>
      </c>
    </row>
    <row r="229" spans="1:8" s="210" customFormat="1" ht="31.5" hidden="1" x14ac:dyDescent="0.25">
      <c r="A229" s="318" t="s">
        <v>1001</v>
      </c>
      <c r="B229" s="319" t="s">
        <v>133</v>
      </c>
      <c r="C229" s="319" t="s">
        <v>155</v>
      </c>
      <c r="D229" s="319" t="s">
        <v>1180</v>
      </c>
      <c r="E229" s="228"/>
      <c r="F229" s="325">
        <f>F230</f>
        <v>0</v>
      </c>
      <c r="G229" s="325">
        <f t="shared" ref="G229:G231" si="123">G230</f>
        <v>0</v>
      </c>
      <c r="H229" s="337" t="e">
        <f t="shared" si="111"/>
        <v>#DIV/0!</v>
      </c>
    </row>
    <row r="230" spans="1:8" ht="31.5" hidden="1" x14ac:dyDescent="0.25">
      <c r="A230" s="193" t="s">
        <v>814</v>
      </c>
      <c r="B230" s="347" t="s">
        <v>133</v>
      </c>
      <c r="C230" s="347" t="s">
        <v>155</v>
      </c>
      <c r="D230" s="347" t="s">
        <v>1181</v>
      </c>
      <c r="E230" s="32"/>
      <c r="F230" s="313">
        <f>F231</f>
        <v>0</v>
      </c>
      <c r="G230" s="313">
        <f t="shared" si="123"/>
        <v>0</v>
      </c>
      <c r="H230" s="337" t="e">
        <f t="shared" si="111"/>
        <v>#DIV/0!</v>
      </c>
    </row>
    <row r="231" spans="1:8" ht="31.5" hidden="1" x14ac:dyDescent="0.25">
      <c r="A231" s="193" t="s">
        <v>146</v>
      </c>
      <c r="B231" s="347" t="s">
        <v>133</v>
      </c>
      <c r="C231" s="347" t="s">
        <v>155</v>
      </c>
      <c r="D231" s="347" t="s">
        <v>1181</v>
      </c>
      <c r="E231" s="32" t="s">
        <v>147</v>
      </c>
      <c r="F231" s="313">
        <f>F232</f>
        <v>0</v>
      </c>
      <c r="G231" s="313">
        <f t="shared" si="123"/>
        <v>0</v>
      </c>
      <c r="H231" s="337" t="e">
        <f t="shared" si="111"/>
        <v>#DIV/0!</v>
      </c>
    </row>
    <row r="232" spans="1:8" ht="47.25" hidden="1" x14ac:dyDescent="0.25">
      <c r="A232" s="193" t="s">
        <v>148</v>
      </c>
      <c r="B232" s="347" t="s">
        <v>133</v>
      </c>
      <c r="C232" s="347" t="s">
        <v>155</v>
      </c>
      <c r="D232" s="347" t="s">
        <v>1181</v>
      </c>
      <c r="E232" s="32" t="s">
        <v>149</v>
      </c>
      <c r="F232" s="313">
        <f>'Пр.4 ведом.20'!G557</f>
        <v>0</v>
      </c>
      <c r="G232" s="313">
        <f>'Пр.4 ведом.20'!H557</f>
        <v>0</v>
      </c>
      <c r="H232" s="337" t="e">
        <f t="shared" si="111"/>
        <v>#DIV/0!</v>
      </c>
    </row>
    <row r="233" spans="1:8" ht="78.75" x14ac:dyDescent="0.25">
      <c r="A233" s="41" t="s">
        <v>861</v>
      </c>
      <c r="B233" s="8" t="s">
        <v>133</v>
      </c>
      <c r="C233" s="8" t="s">
        <v>155</v>
      </c>
      <c r="D233" s="355" t="s">
        <v>859</v>
      </c>
      <c r="E233" s="8"/>
      <c r="F233" s="325">
        <f>F234</f>
        <v>30</v>
      </c>
      <c r="G233" s="325">
        <f t="shared" ref="G233:G236" si="124">G234</f>
        <v>0</v>
      </c>
      <c r="H233" s="4">
        <f t="shared" si="111"/>
        <v>0</v>
      </c>
    </row>
    <row r="234" spans="1:8" s="210" customFormat="1" ht="47.25" x14ac:dyDescent="0.25">
      <c r="A234" s="218" t="s">
        <v>898</v>
      </c>
      <c r="B234" s="8" t="s">
        <v>133</v>
      </c>
      <c r="C234" s="8" t="s">
        <v>155</v>
      </c>
      <c r="D234" s="206" t="s">
        <v>1260</v>
      </c>
      <c r="E234" s="8"/>
      <c r="F234" s="325">
        <f>F235</f>
        <v>30</v>
      </c>
      <c r="G234" s="325">
        <f t="shared" si="124"/>
        <v>0</v>
      </c>
      <c r="H234" s="4">
        <f t="shared" si="111"/>
        <v>0</v>
      </c>
    </row>
    <row r="235" spans="1:8" ht="31.5" x14ac:dyDescent="0.25">
      <c r="A235" s="98" t="s">
        <v>186</v>
      </c>
      <c r="B235" s="9" t="s">
        <v>133</v>
      </c>
      <c r="C235" s="9" t="s">
        <v>155</v>
      </c>
      <c r="D235" s="311" t="s">
        <v>899</v>
      </c>
      <c r="E235" s="9"/>
      <c r="F235" s="313">
        <f>F236</f>
        <v>30</v>
      </c>
      <c r="G235" s="313">
        <f t="shared" si="124"/>
        <v>0</v>
      </c>
      <c r="H235" s="337">
        <f t="shared" si="111"/>
        <v>0</v>
      </c>
    </row>
    <row r="236" spans="1:8" ht="31.5" x14ac:dyDescent="0.25">
      <c r="A236" s="349" t="s">
        <v>146</v>
      </c>
      <c r="B236" s="9" t="s">
        <v>133</v>
      </c>
      <c r="C236" s="9" t="s">
        <v>155</v>
      </c>
      <c r="D236" s="311" t="s">
        <v>899</v>
      </c>
      <c r="E236" s="9" t="s">
        <v>147</v>
      </c>
      <c r="F236" s="313">
        <f>F237</f>
        <v>30</v>
      </c>
      <c r="G236" s="313">
        <f t="shared" si="124"/>
        <v>0</v>
      </c>
      <c r="H236" s="337">
        <f t="shared" si="111"/>
        <v>0</v>
      </c>
    </row>
    <row r="237" spans="1:8" ht="47.25" x14ac:dyDescent="0.25">
      <c r="A237" s="349" t="s">
        <v>148</v>
      </c>
      <c r="B237" s="9" t="s">
        <v>133</v>
      </c>
      <c r="C237" s="9" t="s">
        <v>155</v>
      </c>
      <c r="D237" s="311" t="s">
        <v>899</v>
      </c>
      <c r="E237" s="9" t="s">
        <v>149</v>
      </c>
      <c r="F237" s="313">
        <f>'Пр.4 ведом.20'!G145</f>
        <v>30</v>
      </c>
      <c r="G237" s="313">
        <f>'Пр.4 ведом.20'!H145</f>
        <v>0</v>
      </c>
      <c r="H237" s="337">
        <f t="shared" si="111"/>
        <v>0</v>
      </c>
    </row>
    <row r="238" spans="1:8" ht="63" x14ac:dyDescent="0.25">
      <c r="A238" s="41" t="s">
        <v>1184</v>
      </c>
      <c r="B238" s="8" t="s">
        <v>133</v>
      </c>
      <c r="C238" s="8" t="s">
        <v>155</v>
      </c>
      <c r="D238" s="206" t="s">
        <v>860</v>
      </c>
      <c r="E238" s="8"/>
      <c r="F238" s="4">
        <f>F239</f>
        <v>80</v>
      </c>
      <c r="G238" s="4">
        <f t="shared" ref="G238" si="125">G239</f>
        <v>19.850000000000001</v>
      </c>
      <c r="H238" s="4">
        <f t="shared" si="111"/>
        <v>24.8125</v>
      </c>
    </row>
    <row r="239" spans="1:8" ht="31.5" x14ac:dyDescent="0.25">
      <c r="A239" s="58" t="s">
        <v>900</v>
      </c>
      <c r="B239" s="8" t="s">
        <v>133</v>
      </c>
      <c r="C239" s="8" t="s">
        <v>155</v>
      </c>
      <c r="D239" s="206" t="s">
        <v>908</v>
      </c>
      <c r="E239" s="8"/>
      <c r="F239" s="4">
        <f t="shared" ref="F239:G241" si="126">F240</f>
        <v>80</v>
      </c>
      <c r="G239" s="4">
        <f t="shared" si="126"/>
        <v>19.850000000000001</v>
      </c>
      <c r="H239" s="4">
        <f t="shared" si="111"/>
        <v>24.8125</v>
      </c>
    </row>
    <row r="240" spans="1:8" ht="15.75" x14ac:dyDescent="0.25">
      <c r="A240" s="45" t="s">
        <v>865</v>
      </c>
      <c r="B240" s="9" t="s">
        <v>133</v>
      </c>
      <c r="C240" s="9" t="s">
        <v>155</v>
      </c>
      <c r="D240" s="311" t="s">
        <v>901</v>
      </c>
      <c r="E240" s="9"/>
      <c r="F240" s="293">
        <f t="shared" si="126"/>
        <v>80</v>
      </c>
      <c r="G240" s="293">
        <f t="shared" si="126"/>
        <v>19.850000000000001</v>
      </c>
      <c r="H240" s="337">
        <f t="shared" si="111"/>
        <v>24.8125</v>
      </c>
    </row>
    <row r="241" spans="1:10" ht="48.2" customHeight="1" x14ac:dyDescent="0.25">
      <c r="A241" s="349" t="s">
        <v>146</v>
      </c>
      <c r="B241" s="9" t="s">
        <v>133</v>
      </c>
      <c r="C241" s="9" t="s">
        <v>155</v>
      </c>
      <c r="D241" s="311" t="s">
        <v>901</v>
      </c>
      <c r="E241" s="9" t="s">
        <v>147</v>
      </c>
      <c r="F241" s="293">
        <f>F242</f>
        <v>80</v>
      </c>
      <c r="G241" s="293">
        <f t="shared" si="126"/>
        <v>19.850000000000001</v>
      </c>
      <c r="H241" s="337">
        <f t="shared" si="111"/>
        <v>24.8125</v>
      </c>
    </row>
    <row r="242" spans="1:10" ht="47.25" x14ac:dyDescent="0.25">
      <c r="A242" s="349" t="s">
        <v>148</v>
      </c>
      <c r="B242" s="9" t="s">
        <v>133</v>
      </c>
      <c r="C242" s="9" t="s">
        <v>155</v>
      </c>
      <c r="D242" s="311" t="s">
        <v>901</v>
      </c>
      <c r="E242" s="9" t="s">
        <v>149</v>
      </c>
      <c r="F242" s="337">
        <f>'Пр.4 ведом.20'!G266+'Пр.4 ведом.20'!G150</f>
        <v>80</v>
      </c>
      <c r="G242" s="337">
        <f>'Пр.4 ведом.20'!H266+'Пр.4 ведом.20'!H150</f>
        <v>19.850000000000001</v>
      </c>
      <c r="H242" s="337">
        <f t="shared" si="111"/>
        <v>24.8125</v>
      </c>
    </row>
    <row r="243" spans="1:10" s="210" customFormat="1" ht="15.75" hidden="1" x14ac:dyDescent="0.25">
      <c r="A243" s="318" t="s">
        <v>227</v>
      </c>
      <c r="B243" s="319" t="s">
        <v>228</v>
      </c>
      <c r="C243" s="319"/>
      <c r="D243" s="319"/>
      <c r="E243" s="319"/>
      <c r="F243" s="4">
        <f t="shared" ref="F243:G248" si="127">F244</f>
        <v>0</v>
      </c>
      <c r="G243" s="4">
        <f t="shared" si="127"/>
        <v>0</v>
      </c>
      <c r="H243" s="337" t="e">
        <f t="shared" si="111"/>
        <v>#DIV/0!</v>
      </c>
    </row>
    <row r="244" spans="1:10" s="210" customFormat="1" ht="19.5" hidden="1" customHeight="1" x14ac:dyDescent="0.25">
      <c r="A244" s="318" t="s">
        <v>233</v>
      </c>
      <c r="B244" s="319" t="s">
        <v>228</v>
      </c>
      <c r="C244" s="319" t="s">
        <v>234</v>
      </c>
      <c r="D244" s="319"/>
      <c r="E244" s="319"/>
      <c r="F244" s="4">
        <f t="shared" si="127"/>
        <v>0</v>
      </c>
      <c r="G244" s="4">
        <f t="shared" si="127"/>
        <v>0</v>
      </c>
      <c r="H244" s="337" t="e">
        <f t="shared" si="111"/>
        <v>#DIV/0!</v>
      </c>
    </row>
    <row r="245" spans="1:10" s="210" customFormat="1" ht="15.75" hidden="1" x14ac:dyDescent="0.25">
      <c r="A245" s="318" t="s">
        <v>156</v>
      </c>
      <c r="B245" s="319" t="s">
        <v>228</v>
      </c>
      <c r="C245" s="319" t="s">
        <v>234</v>
      </c>
      <c r="D245" s="319" t="s">
        <v>910</v>
      </c>
      <c r="E245" s="319"/>
      <c r="F245" s="4">
        <f t="shared" si="127"/>
        <v>0</v>
      </c>
      <c r="G245" s="4">
        <f t="shared" si="127"/>
        <v>0</v>
      </c>
      <c r="H245" s="337" t="e">
        <f t="shared" si="111"/>
        <v>#DIV/0!</v>
      </c>
    </row>
    <row r="246" spans="1:10" s="210" customFormat="1" ht="31.5" hidden="1" x14ac:dyDescent="0.25">
      <c r="A246" s="318" t="s">
        <v>914</v>
      </c>
      <c r="B246" s="319" t="s">
        <v>228</v>
      </c>
      <c r="C246" s="319" t="s">
        <v>234</v>
      </c>
      <c r="D246" s="319" t="s">
        <v>909</v>
      </c>
      <c r="E246" s="319"/>
      <c r="F246" s="4">
        <f t="shared" si="127"/>
        <v>0</v>
      </c>
      <c r="G246" s="4">
        <f t="shared" si="127"/>
        <v>0</v>
      </c>
      <c r="H246" s="337" t="e">
        <f t="shared" si="111"/>
        <v>#DIV/0!</v>
      </c>
    </row>
    <row r="247" spans="1:10" s="210" customFormat="1" ht="15.75" hidden="1" x14ac:dyDescent="0.25">
      <c r="A247" s="349" t="s">
        <v>235</v>
      </c>
      <c r="B247" s="347" t="s">
        <v>228</v>
      </c>
      <c r="C247" s="347" t="s">
        <v>234</v>
      </c>
      <c r="D247" s="347" t="s">
        <v>915</v>
      </c>
      <c r="E247" s="347"/>
      <c r="F247" s="337">
        <f t="shared" si="127"/>
        <v>0</v>
      </c>
      <c r="G247" s="337">
        <f t="shared" si="127"/>
        <v>0</v>
      </c>
      <c r="H247" s="337" t="e">
        <f t="shared" si="111"/>
        <v>#DIV/0!</v>
      </c>
    </row>
    <row r="248" spans="1:10" s="210" customFormat="1" ht="31.5" hidden="1" x14ac:dyDescent="0.25">
      <c r="A248" s="349" t="s">
        <v>213</v>
      </c>
      <c r="B248" s="347" t="s">
        <v>228</v>
      </c>
      <c r="C248" s="347" t="s">
        <v>234</v>
      </c>
      <c r="D248" s="347" t="s">
        <v>915</v>
      </c>
      <c r="E248" s="347" t="s">
        <v>147</v>
      </c>
      <c r="F248" s="337">
        <f t="shared" si="127"/>
        <v>0</v>
      </c>
      <c r="G248" s="337">
        <f t="shared" si="127"/>
        <v>0</v>
      </c>
      <c r="H248" s="337" t="e">
        <f t="shared" si="111"/>
        <v>#DIV/0!</v>
      </c>
    </row>
    <row r="249" spans="1:10" s="210" customFormat="1" ht="47.25" hidden="1" x14ac:dyDescent="0.25">
      <c r="A249" s="349" t="s">
        <v>148</v>
      </c>
      <c r="B249" s="347" t="s">
        <v>228</v>
      </c>
      <c r="C249" s="347" t="s">
        <v>234</v>
      </c>
      <c r="D249" s="347" t="s">
        <v>915</v>
      </c>
      <c r="E249" s="347" t="s">
        <v>149</v>
      </c>
      <c r="F249" s="337">
        <f>'Пр.4 ведом.20'!G157</f>
        <v>0</v>
      </c>
      <c r="G249" s="337">
        <f>'Пр.4 ведом.20'!H157</f>
        <v>0</v>
      </c>
      <c r="H249" s="337" t="e">
        <f t="shared" si="111"/>
        <v>#DIV/0!</v>
      </c>
    </row>
    <row r="250" spans="1:10" ht="31.5" x14ac:dyDescent="0.25">
      <c r="A250" s="318" t="s">
        <v>237</v>
      </c>
      <c r="B250" s="319" t="s">
        <v>230</v>
      </c>
      <c r="C250" s="319"/>
      <c r="D250" s="319"/>
      <c r="E250" s="319"/>
      <c r="F250" s="4">
        <f t="shared" ref="F250:G251" si="128">F251</f>
        <v>6339</v>
      </c>
      <c r="G250" s="4">
        <f t="shared" si="128"/>
        <v>6336.6932300000008</v>
      </c>
      <c r="H250" s="4">
        <f t="shared" si="111"/>
        <v>99.963609875374686</v>
      </c>
    </row>
    <row r="251" spans="1:10" ht="47.25" x14ac:dyDescent="0.25">
      <c r="A251" s="318" t="s">
        <v>238</v>
      </c>
      <c r="B251" s="319" t="s">
        <v>230</v>
      </c>
      <c r="C251" s="319" t="s">
        <v>234</v>
      </c>
      <c r="D251" s="347"/>
      <c r="E251" s="347"/>
      <c r="F251" s="4">
        <f t="shared" si="128"/>
        <v>6339</v>
      </c>
      <c r="G251" s="4">
        <f t="shared" si="128"/>
        <v>6336.6932300000008</v>
      </c>
      <c r="H251" s="4">
        <f t="shared" si="111"/>
        <v>99.963609875374686</v>
      </c>
      <c r="I251" s="22"/>
      <c r="J251" s="22"/>
    </row>
    <row r="252" spans="1:10" ht="15.75" x14ac:dyDescent="0.25">
      <c r="A252" s="318" t="s">
        <v>156</v>
      </c>
      <c r="B252" s="319" t="s">
        <v>230</v>
      </c>
      <c r="C252" s="319" t="s">
        <v>234</v>
      </c>
      <c r="D252" s="319" t="s">
        <v>910</v>
      </c>
      <c r="E252" s="319"/>
      <c r="F252" s="4">
        <f>F253+F260</f>
        <v>6339</v>
      </c>
      <c r="G252" s="4">
        <f t="shared" ref="G252" si="129">G253+G260</f>
        <v>6336.6932300000008</v>
      </c>
      <c r="H252" s="4">
        <f t="shared" si="111"/>
        <v>99.963609875374686</v>
      </c>
    </row>
    <row r="253" spans="1:10" ht="31.5" x14ac:dyDescent="0.25">
      <c r="A253" s="318" t="s">
        <v>914</v>
      </c>
      <c r="B253" s="319" t="s">
        <v>230</v>
      </c>
      <c r="C253" s="319" t="s">
        <v>234</v>
      </c>
      <c r="D253" s="319" t="s">
        <v>909</v>
      </c>
      <c r="E253" s="319"/>
      <c r="F253" s="4">
        <f>F254+F257</f>
        <v>393.4</v>
      </c>
      <c r="G253" s="4">
        <f t="shared" ref="G253" si="130">G254+G257</f>
        <v>393.12792999999999</v>
      </c>
      <c r="H253" s="4">
        <f t="shared" si="111"/>
        <v>99.930841382816467</v>
      </c>
    </row>
    <row r="254" spans="1:10" ht="47.25" x14ac:dyDescent="0.25">
      <c r="A254" s="349" t="s">
        <v>239</v>
      </c>
      <c r="B254" s="347" t="s">
        <v>230</v>
      </c>
      <c r="C254" s="347" t="s">
        <v>234</v>
      </c>
      <c r="D254" s="347" t="s">
        <v>919</v>
      </c>
      <c r="E254" s="347"/>
      <c r="F254" s="337">
        <f t="shared" ref="F254:G255" si="131">F255</f>
        <v>274</v>
      </c>
      <c r="G254" s="337">
        <f t="shared" si="131"/>
        <v>273.90431999999998</v>
      </c>
      <c r="H254" s="337">
        <f t="shared" si="111"/>
        <v>99.965080291970793</v>
      </c>
    </row>
    <row r="255" spans="1:10" ht="31.5" x14ac:dyDescent="0.25">
      <c r="A255" s="349" t="s">
        <v>213</v>
      </c>
      <c r="B255" s="347" t="s">
        <v>230</v>
      </c>
      <c r="C255" s="347" t="s">
        <v>234</v>
      </c>
      <c r="D255" s="347" t="s">
        <v>919</v>
      </c>
      <c r="E255" s="347" t="s">
        <v>147</v>
      </c>
      <c r="F255" s="337">
        <f t="shared" si="131"/>
        <v>274</v>
      </c>
      <c r="G255" s="337">
        <f t="shared" si="131"/>
        <v>273.90431999999998</v>
      </c>
      <c r="H255" s="337">
        <f t="shared" si="111"/>
        <v>99.965080291970793</v>
      </c>
    </row>
    <row r="256" spans="1:10" ht="47.25" x14ac:dyDescent="0.25">
      <c r="A256" s="349" t="s">
        <v>148</v>
      </c>
      <c r="B256" s="347" t="s">
        <v>230</v>
      </c>
      <c r="C256" s="347" t="s">
        <v>234</v>
      </c>
      <c r="D256" s="347" t="s">
        <v>919</v>
      </c>
      <c r="E256" s="347" t="s">
        <v>149</v>
      </c>
      <c r="F256" s="296">
        <f>'Пр.4 ведом.20'!G164</f>
        <v>274</v>
      </c>
      <c r="G256" s="296">
        <f>'Пр.4 ведом.20'!H164</f>
        <v>273.90431999999998</v>
      </c>
      <c r="H256" s="337">
        <f t="shared" si="111"/>
        <v>99.965080291970793</v>
      </c>
    </row>
    <row r="257" spans="1:8" ht="15.75" x14ac:dyDescent="0.25">
      <c r="A257" s="349" t="s">
        <v>245</v>
      </c>
      <c r="B257" s="347" t="s">
        <v>230</v>
      </c>
      <c r="C257" s="347" t="s">
        <v>234</v>
      </c>
      <c r="D257" s="347" t="s">
        <v>920</v>
      </c>
      <c r="E257" s="347"/>
      <c r="F257" s="296">
        <f t="shared" ref="F257:G258" si="132">F258</f>
        <v>119.4</v>
      </c>
      <c r="G257" s="296">
        <f t="shared" si="132"/>
        <v>119.22361000000001</v>
      </c>
      <c r="H257" s="337">
        <f t="shared" si="111"/>
        <v>99.852269681742044</v>
      </c>
    </row>
    <row r="258" spans="1:8" ht="31.5" x14ac:dyDescent="0.25">
      <c r="A258" s="349" t="s">
        <v>213</v>
      </c>
      <c r="B258" s="347" t="s">
        <v>230</v>
      </c>
      <c r="C258" s="347" t="s">
        <v>234</v>
      </c>
      <c r="D258" s="347" t="s">
        <v>920</v>
      </c>
      <c r="E258" s="347" t="s">
        <v>147</v>
      </c>
      <c r="F258" s="296">
        <f t="shared" si="132"/>
        <v>119.4</v>
      </c>
      <c r="G258" s="296">
        <f t="shared" si="132"/>
        <v>119.22361000000001</v>
      </c>
      <c r="H258" s="337">
        <f t="shared" si="111"/>
        <v>99.852269681742044</v>
      </c>
    </row>
    <row r="259" spans="1:8" ht="47.25" x14ac:dyDescent="0.25">
      <c r="A259" s="349" t="s">
        <v>148</v>
      </c>
      <c r="B259" s="347" t="s">
        <v>230</v>
      </c>
      <c r="C259" s="347" t="s">
        <v>234</v>
      </c>
      <c r="D259" s="347" t="s">
        <v>920</v>
      </c>
      <c r="E259" s="347" t="s">
        <v>149</v>
      </c>
      <c r="F259" s="296">
        <f>'Пр.4 ведом.20'!G167+'Пр.4 ведом.20'!G980</f>
        <v>119.4</v>
      </c>
      <c r="G259" s="296">
        <f>'Пр.4 ведом.20'!H167+'Пр.4 ведом.20'!H980</f>
        <v>119.22361000000001</v>
      </c>
      <c r="H259" s="337">
        <f t="shared" si="111"/>
        <v>99.852269681742044</v>
      </c>
    </row>
    <row r="260" spans="1:8" ht="31.5" x14ac:dyDescent="0.25">
      <c r="A260" s="318" t="s">
        <v>994</v>
      </c>
      <c r="B260" s="319" t="s">
        <v>230</v>
      </c>
      <c r="C260" s="319" t="s">
        <v>234</v>
      </c>
      <c r="D260" s="319" t="s">
        <v>916</v>
      </c>
      <c r="E260" s="319"/>
      <c r="F260" s="4">
        <f>F261+F266</f>
        <v>5945.6</v>
      </c>
      <c r="G260" s="4">
        <f t="shared" ref="G260" si="133">G261+G266</f>
        <v>5943.5653000000011</v>
      </c>
      <c r="H260" s="4">
        <f t="shared" si="111"/>
        <v>99.965778054359546</v>
      </c>
    </row>
    <row r="261" spans="1:8" ht="31.5" x14ac:dyDescent="0.25">
      <c r="A261" s="349" t="s">
        <v>998</v>
      </c>
      <c r="B261" s="347" t="s">
        <v>230</v>
      </c>
      <c r="C261" s="347" t="s">
        <v>234</v>
      </c>
      <c r="D261" s="347" t="s">
        <v>917</v>
      </c>
      <c r="E261" s="347"/>
      <c r="F261" s="293">
        <f>F262+F264</f>
        <v>5933.6</v>
      </c>
      <c r="G261" s="293">
        <f t="shared" ref="G261" si="134">G262+G264</f>
        <v>5933.4401000000007</v>
      </c>
      <c r="H261" s="337">
        <f t="shared" si="111"/>
        <v>99.997305177295402</v>
      </c>
    </row>
    <row r="262" spans="1:8" ht="78.75" x14ac:dyDescent="0.25">
      <c r="A262" s="349" t="s">
        <v>142</v>
      </c>
      <c r="B262" s="347" t="s">
        <v>230</v>
      </c>
      <c r="C262" s="347" t="s">
        <v>234</v>
      </c>
      <c r="D262" s="347" t="s">
        <v>917</v>
      </c>
      <c r="E262" s="347" t="s">
        <v>143</v>
      </c>
      <c r="F262" s="293">
        <f>'Пр.4 ведом.20'!G171</f>
        <v>5759.2000000000007</v>
      </c>
      <c r="G262" s="293">
        <f>'Пр.4 ведом.20'!H171</f>
        <v>5759.0447000000004</v>
      </c>
      <c r="H262" s="337">
        <f t="shared" si="111"/>
        <v>99.997303444922906</v>
      </c>
    </row>
    <row r="263" spans="1:8" ht="31.5" x14ac:dyDescent="0.25">
      <c r="A263" s="349" t="s">
        <v>223</v>
      </c>
      <c r="B263" s="347" t="s">
        <v>230</v>
      </c>
      <c r="C263" s="347" t="s">
        <v>234</v>
      </c>
      <c r="D263" s="347" t="s">
        <v>917</v>
      </c>
      <c r="E263" s="347" t="s">
        <v>224</v>
      </c>
      <c r="F263" s="337">
        <f>'Пр.4 ведом.20'!G171</f>
        <v>5759.2000000000007</v>
      </c>
      <c r="G263" s="337">
        <f>'Пр.4 ведом.20'!H171</f>
        <v>5759.0447000000004</v>
      </c>
      <c r="H263" s="337">
        <f t="shared" si="111"/>
        <v>99.997303444922906</v>
      </c>
    </row>
    <row r="264" spans="1:8" ht="31.5" x14ac:dyDescent="0.25">
      <c r="A264" s="349" t="s">
        <v>213</v>
      </c>
      <c r="B264" s="347" t="s">
        <v>230</v>
      </c>
      <c r="C264" s="347" t="s">
        <v>234</v>
      </c>
      <c r="D264" s="347" t="s">
        <v>917</v>
      </c>
      <c r="E264" s="347" t="s">
        <v>147</v>
      </c>
      <c r="F264" s="337">
        <f>'Пр.4 ведом.20'!G173</f>
        <v>174.4</v>
      </c>
      <c r="G264" s="337">
        <f>'Пр.4 ведом.20'!H173</f>
        <v>174.3954</v>
      </c>
      <c r="H264" s="337">
        <f t="shared" si="111"/>
        <v>99.997362385321097</v>
      </c>
    </row>
    <row r="265" spans="1:8" ht="47.25" x14ac:dyDescent="0.25">
      <c r="A265" s="349" t="s">
        <v>148</v>
      </c>
      <c r="B265" s="347" t="s">
        <v>230</v>
      </c>
      <c r="C265" s="347" t="s">
        <v>234</v>
      </c>
      <c r="D265" s="347" t="s">
        <v>917</v>
      </c>
      <c r="E265" s="347" t="s">
        <v>149</v>
      </c>
      <c r="F265" s="337">
        <f>'Пр.4 ведом.20'!G173</f>
        <v>174.4</v>
      </c>
      <c r="G265" s="337">
        <f>'Пр.4 ведом.20'!H173</f>
        <v>174.3954</v>
      </c>
      <c r="H265" s="337">
        <f t="shared" ref="H265:H328" si="135">G265/F265*100</f>
        <v>99.997362385321097</v>
      </c>
    </row>
    <row r="266" spans="1:8" ht="47.25" x14ac:dyDescent="0.25">
      <c r="A266" s="349" t="s">
        <v>883</v>
      </c>
      <c r="B266" s="347" t="s">
        <v>230</v>
      </c>
      <c r="C266" s="347" t="s">
        <v>234</v>
      </c>
      <c r="D266" s="347" t="s">
        <v>918</v>
      </c>
      <c r="E266" s="347"/>
      <c r="F266" s="337">
        <f t="shared" ref="F266:G267" si="136">F267</f>
        <v>12</v>
      </c>
      <c r="G266" s="337">
        <f t="shared" si="136"/>
        <v>10.1252</v>
      </c>
      <c r="H266" s="337">
        <f t="shared" si="135"/>
        <v>84.376666666666665</v>
      </c>
    </row>
    <row r="267" spans="1:8" ht="78.75" x14ac:dyDescent="0.25">
      <c r="A267" s="349" t="s">
        <v>142</v>
      </c>
      <c r="B267" s="347" t="s">
        <v>230</v>
      </c>
      <c r="C267" s="347" t="s">
        <v>234</v>
      </c>
      <c r="D267" s="347" t="s">
        <v>918</v>
      </c>
      <c r="E267" s="347" t="s">
        <v>143</v>
      </c>
      <c r="F267" s="337">
        <f>F268</f>
        <v>12</v>
      </c>
      <c r="G267" s="337">
        <f t="shared" si="136"/>
        <v>10.1252</v>
      </c>
      <c r="H267" s="337">
        <f t="shared" si="135"/>
        <v>84.376666666666665</v>
      </c>
    </row>
    <row r="268" spans="1:8" s="210" customFormat="1" ht="31.5" x14ac:dyDescent="0.25">
      <c r="A268" s="349" t="s">
        <v>144</v>
      </c>
      <c r="B268" s="347" t="s">
        <v>230</v>
      </c>
      <c r="C268" s="347" t="s">
        <v>234</v>
      </c>
      <c r="D268" s="347" t="s">
        <v>918</v>
      </c>
      <c r="E268" s="347" t="s">
        <v>145</v>
      </c>
      <c r="F268" s="337">
        <f>'Пр.4 ведом.20'!G176</f>
        <v>12</v>
      </c>
      <c r="G268" s="337">
        <f>'Пр.4 ведом.20'!H176</f>
        <v>10.1252</v>
      </c>
      <c r="H268" s="337">
        <f t="shared" si="135"/>
        <v>84.376666666666665</v>
      </c>
    </row>
    <row r="269" spans="1:8" ht="15.75" x14ac:dyDescent="0.25">
      <c r="A269" s="318" t="s">
        <v>247</v>
      </c>
      <c r="B269" s="319" t="s">
        <v>165</v>
      </c>
      <c r="C269" s="319"/>
      <c r="D269" s="319"/>
      <c r="E269" s="347"/>
      <c r="F269" s="4">
        <f t="shared" ref="F269" si="137">F283+F289+F303+F270</f>
        <v>7853.1850000000004</v>
      </c>
      <c r="G269" s="4">
        <f t="shared" ref="G269" si="138">G283+G289+G303+G270</f>
        <v>7774.1941999999999</v>
      </c>
      <c r="H269" s="4">
        <f t="shared" si="135"/>
        <v>98.994155874336329</v>
      </c>
    </row>
    <row r="270" spans="1:8" ht="15.75" x14ac:dyDescent="0.25">
      <c r="A270" s="318" t="s">
        <v>248</v>
      </c>
      <c r="B270" s="319" t="s">
        <v>165</v>
      </c>
      <c r="C270" s="319" t="s">
        <v>249</v>
      </c>
      <c r="D270" s="319"/>
      <c r="E270" s="347"/>
      <c r="F270" s="4">
        <f>F271</f>
        <v>91.084999999999994</v>
      </c>
      <c r="G270" s="4">
        <f t="shared" ref="G270" si="139">G271</f>
        <v>91</v>
      </c>
      <c r="H270" s="4">
        <f t="shared" si="135"/>
        <v>99.90668057309108</v>
      </c>
    </row>
    <row r="271" spans="1:8" ht="47.25" x14ac:dyDescent="0.25">
      <c r="A271" s="34" t="s">
        <v>196</v>
      </c>
      <c r="B271" s="319" t="s">
        <v>165</v>
      </c>
      <c r="C271" s="319" t="s">
        <v>249</v>
      </c>
      <c r="D271" s="206" t="s">
        <v>197</v>
      </c>
      <c r="E271" s="228"/>
      <c r="F271" s="4">
        <f>F272+F279</f>
        <v>91.084999999999994</v>
      </c>
      <c r="G271" s="4">
        <f t="shared" ref="G271" si="140">G272+G279</f>
        <v>91</v>
      </c>
      <c r="H271" s="4">
        <f t="shared" si="135"/>
        <v>99.90668057309108</v>
      </c>
    </row>
    <row r="272" spans="1:8" ht="31.5" x14ac:dyDescent="0.25">
      <c r="A272" s="34" t="s">
        <v>1157</v>
      </c>
      <c r="B272" s="319" t="s">
        <v>165</v>
      </c>
      <c r="C272" s="319" t="s">
        <v>249</v>
      </c>
      <c r="D272" s="260" t="s">
        <v>921</v>
      </c>
      <c r="E272" s="228"/>
      <c r="F272" s="4">
        <f>F273+F276</f>
        <v>91.084999999999994</v>
      </c>
      <c r="G272" s="4">
        <f t="shared" ref="G272" si="141">G273+G276</f>
        <v>91</v>
      </c>
      <c r="H272" s="4">
        <f t="shared" si="135"/>
        <v>99.90668057309108</v>
      </c>
    </row>
    <row r="273" spans="1:8" ht="15.75" x14ac:dyDescent="0.25">
      <c r="A273" s="349" t="s">
        <v>922</v>
      </c>
      <c r="B273" s="347" t="s">
        <v>165</v>
      </c>
      <c r="C273" s="347" t="s">
        <v>249</v>
      </c>
      <c r="D273" s="347" t="s">
        <v>966</v>
      </c>
      <c r="E273" s="32"/>
      <c r="F273" s="337">
        <f>F274</f>
        <v>9.4849999999999994</v>
      </c>
      <c r="G273" s="337">
        <f t="shared" ref="G273:G274" si="142">G274</f>
        <v>9.4849999999999994</v>
      </c>
      <c r="H273" s="337">
        <f t="shared" si="135"/>
        <v>100</v>
      </c>
    </row>
    <row r="274" spans="1:8" ht="15.75" x14ac:dyDescent="0.25">
      <c r="A274" s="323" t="s">
        <v>150</v>
      </c>
      <c r="B274" s="347" t="s">
        <v>165</v>
      </c>
      <c r="C274" s="347" t="s">
        <v>249</v>
      </c>
      <c r="D274" s="347" t="s">
        <v>966</v>
      </c>
      <c r="E274" s="32" t="s">
        <v>160</v>
      </c>
      <c r="F274" s="337">
        <f>F275</f>
        <v>9.4849999999999994</v>
      </c>
      <c r="G274" s="337">
        <f t="shared" si="142"/>
        <v>9.4849999999999994</v>
      </c>
      <c r="H274" s="337">
        <f t="shared" si="135"/>
        <v>100</v>
      </c>
    </row>
    <row r="275" spans="1:8" ht="47.25" x14ac:dyDescent="0.25">
      <c r="A275" s="323" t="s">
        <v>199</v>
      </c>
      <c r="B275" s="347" t="s">
        <v>165</v>
      </c>
      <c r="C275" s="347" t="s">
        <v>249</v>
      </c>
      <c r="D275" s="347" t="s">
        <v>966</v>
      </c>
      <c r="E275" s="32" t="s">
        <v>175</v>
      </c>
      <c r="F275" s="337">
        <f>'Пр.4 ведом.20'!G183</f>
        <v>9.4849999999999994</v>
      </c>
      <c r="G275" s="337">
        <f>'Пр.4 ведом.20'!H183</f>
        <v>9.4849999999999994</v>
      </c>
      <c r="H275" s="337">
        <f t="shared" si="135"/>
        <v>100</v>
      </c>
    </row>
    <row r="276" spans="1:8" ht="31.5" x14ac:dyDescent="0.25">
      <c r="A276" s="349" t="s">
        <v>250</v>
      </c>
      <c r="B276" s="347" t="s">
        <v>165</v>
      </c>
      <c r="C276" s="347" t="s">
        <v>249</v>
      </c>
      <c r="D276" s="347" t="s">
        <v>925</v>
      </c>
      <c r="E276" s="347"/>
      <c r="F276" s="337">
        <f t="shared" ref="F276:G277" si="143">F277</f>
        <v>81.599999999999994</v>
      </c>
      <c r="G276" s="337">
        <f t="shared" si="143"/>
        <v>81.515000000000001</v>
      </c>
      <c r="H276" s="337">
        <f t="shared" si="135"/>
        <v>99.895833333333343</v>
      </c>
    </row>
    <row r="277" spans="1:8" ht="15.75" x14ac:dyDescent="0.25">
      <c r="A277" s="349" t="s">
        <v>150</v>
      </c>
      <c r="B277" s="347" t="s">
        <v>165</v>
      </c>
      <c r="C277" s="347" t="s">
        <v>249</v>
      </c>
      <c r="D277" s="347" t="s">
        <v>925</v>
      </c>
      <c r="E277" s="347" t="s">
        <v>160</v>
      </c>
      <c r="F277" s="337">
        <f>F278</f>
        <v>81.599999999999994</v>
      </c>
      <c r="G277" s="337">
        <f t="shared" si="143"/>
        <v>81.515000000000001</v>
      </c>
      <c r="H277" s="337">
        <f t="shared" si="135"/>
        <v>99.895833333333343</v>
      </c>
    </row>
    <row r="278" spans="1:8" ht="47.25" x14ac:dyDescent="0.25">
      <c r="A278" s="349" t="s">
        <v>199</v>
      </c>
      <c r="B278" s="347" t="s">
        <v>165</v>
      </c>
      <c r="C278" s="347" t="s">
        <v>249</v>
      </c>
      <c r="D278" s="347" t="s">
        <v>925</v>
      </c>
      <c r="E278" s="347" t="s">
        <v>175</v>
      </c>
      <c r="F278" s="337">
        <f>'Пр.4 ведом.20'!G186</f>
        <v>81.599999999999994</v>
      </c>
      <c r="G278" s="337">
        <f>'Пр.4 ведом.20'!H186</f>
        <v>81.515000000000001</v>
      </c>
      <c r="H278" s="337">
        <f t="shared" si="135"/>
        <v>99.895833333333343</v>
      </c>
    </row>
    <row r="279" spans="1:8" ht="47.25" hidden="1" x14ac:dyDescent="0.25">
      <c r="A279" s="219" t="s">
        <v>1158</v>
      </c>
      <c r="B279" s="319" t="s">
        <v>165</v>
      </c>
      <c r="C279" s="319" t="s">
        <v>249</v>
      </c>
      <c r="D279" s="206" t="s">
        <v>924</v>
      </c>
      <c r="E279" s="228"/>
      <c r="F279" s="4">
        <f>F280</f>
        <v>0</v>
      </c>
      <c r="G279" s="4">
        <f t="shared" ref="G279:G281" si="144">G280</f>
        <v>0</v>
      </c>
      <c r="H279" s="337" t="e">
        <f t="shared" si="135"/>
        <v>#DIV/0!</v>
      </c>
    </row>
    <row r="280" spans="1:8" s="210" customFormat="1" ht="15.75" hidden="1" x14ac:dyDescent="0.25">
      <c r="A280" s="349" t="s">
        <v>923</v>
      </c>
      <c r="B280" s="347" t="s">
        <v>165</v>
      </c>
      <c r="C280" s="347" t="s">
        <v>249</v>
      </c>
      <c r="D280" s="311" t="s">
        <v>967</v>
      </c>
      <c r="E280" s="32"/>
      <c r="F280" s="337">
        <f>F281</f>
        <v>0</v>
      </c>
      <c r="G280" s="337">
        <f t="shared" si="144"/>
        <v>0</v>
      </c>
      <c r="H280" s="337" t="e">
        <f t="shared" si="135"/>
        <v>#DIV/0!</v>
      </c>
    </row>
    <row r="281" spans="1:8" s="210" customFormat="1" ht="15.75" hidden="1" x14ac:dyDescent="0.25">
      <c r="A281" s="323" t="s">
        <v>150</v>
      </c>
      <c r="B281" s="347" t="s">
        <v>165</v>
      </c>
      <c r="C281" s="347" t="s">
        <v>249</v>
      </c>
      <c r="D281" s="311" t="s">
        <v>967</v>
      </c>
      <c r="E281" s="32" t="s">
        <v>160</v>
      </c>
      <c r="F281" s="337">
        <f>F282</f>
        <v>0</v>
      </c>
      <c r="G281" s="337">
        <f t="shared" si="144"/>
        <v>0</v>
      </c>
      <c r="H281" s="337" t="e">
        <f t="shared" si="135"/>
        <v>#DIV/0!</v>
      </c>
    </row>
    <row r="282" spans="1:8" s="210" customFormat="1" ht="47.25" hidden="1" x14ac:dyDescent="0.25">
      <c r="A282" s="323" t="s">
        <v>199</v>
      </c>
      <c r="B282" s="347" t="s">
        <v>165</v>
      </c>
      <c r="C282" s="347" t="s">
        <v>249</v>
      </c>
      <c r="D282" s="311" t="s">
        <v>967</v>
      </c>
      <c r="E282" s="32" t="s">
        <v>175</v>
      </c>
      <c r="F282" s="337">
        <f>'Пр.4 ведом.20'!G190</f>
        <v>0</v>
      </c>
      <c r="G282" s="337">
        <f>'Пр.4 ведом.20'!H190</f>
        <v>0</v>
      </c>
      <c r="H282" s="337" t="e">
        <f t="shared" si="135"/>
        <v>#DIV/0!</v>
      </c>
    </row>
    <row r="283" spans="1:8" ht="15.75" x14ac:dyDescent="0.25">
      <c r="A283" s="318" t="s">
        <v>520</v>
      </c>
      <c r="B283" s="319" t="s">
        <v>165</v>
      </c>
      <c r="C283" s="319" t="s">
        <v>314</v>
      </c>
      <c r="D283" s="319"/>
      <c r="E283" s="319"/>
      <c r="F283" s="4">
        <f t="shared" ref="F283:G287" si="145">F284</f>
        <v>3258</v>
      </c>
      <c r="G283" s="4">
        <f t="shared" si="145"/>
        <v>3257.884</v>
      </c>
      <c r="H283" s="4">
        <f t="shared" si="135"/>
        <v>99.996439533456112</v>
      </c>
    </row>
    <row r="284" spans="1:8" ht="15.75" x14ac:dyDescent="0.25">
      <c r="A284" s="318" t="s">
        <v>156</v>
      </c>
      <c r="B284" s="319" t="s">
        <v>165</v>
      </c>
      <c r="C284" s="319" t="s">
        <v>314</v>
      </c>
      <c r="D284" s="319" t="s">
        <v>910</v>
      </c>
      <c r="E284" s="319"/>
      <c r="F284" s="4">
        <f t="shared" si="145"/>
        <v>3258</v>
      </c>
      <c r="G284" s="4">
        <f t="shared" si="145"/>
        <v>3257.884</v>
      </c>
      <c r="H284" s="4">
        <f t="shared" si="135"/>
        <v>99.996439533456112</v>
      </c>
    </row>
    <row r="285" spans="1:8" ht="31.5" x14ac:dyDescent="0.25">
      <c r="A285" s="318" t="s">
        <v>914</v>
      </c>
      <c r="B285" s="319" t="s">
        <v>165</v>
      </c>
      <c r="C285" s="319" t="s">
        <v>314</v>
      </c>
      <c r="D285" s="319" t="s">
        <v>909</v>
      </c>
      <c r="E285" s="319"/>
      <c r="F285" s="4">
        <f t="shared" si="145"/>
        <v>3258</v>
      </c>
      <c r="G285" s="4">
        <f t="shared" si="145"/>
        <v>3257.884</v>
      </c>
      <c r="H285" s="4">
        <f t="shared" si="135"/>
        <v>99.996439533456112</v>
      </c>
    </row>
    <row r="286" spans="1:8" ht="17.45" customHeight="1" x14ac:dyDescent="0.25">
      <c r="A286" s="349" t="s">
        <v>521</v>
      </c>
      <c r="B286" s="347" t="s">
        <v>165</v>
      </c>
      <c r="C286" s="347" t="s">
        <v>314</v>
      </c>
      <c r="D286" s="347" t="s">
        <v>1091</v>
      </c>
      <c r="E286" s="347"/>
      <c r="F286" s="337">
        <f t="shared" si="145"/>
        <v>3258</v>
      </c>
      <c r="G286" s="337">
        <f t="shared" si="145"/>
        <v>3257.884</v>
      </c>
      <c r="H286" s="337">
        <f t="shared" si="135"/>
        <v>99.996439533456112</v>
      </c>
    </row>
    <row r="287" spans="1:8" ht="34.5" customHeight="1" x14ac:dyDescent="0.25">
      <c r="A287" s="349" t="s">
        <v>146</v>
      </c>
      <c r="B287" s="347" t="s">
        <v>165</v>
      </c>
      <c r="C287" s="347" t="s">
        <v>314</v>
      </c>
      <c r="D287" s="347" t="s">
        <v>1091</v>
      </c>
      <c r="E287" s="347" t="s">
        <v>147</v>
      </c>
      <c r="F287" s="337">
        <f t="shared" si="145"/>
        <v>3258</v>
      </c>
      <c r="G287" s="337">
        <f t="shared" si="145"/>
        <v>3257.884</v>
      </c>
      <c r="H287" s="337">
        <f t="shared" si="135"/>
        <v>99.996439533456112</v>
      </c>
    </row>
    <row r="288" spans="1:8" ht="38.25" customHeight="1" x14ac:dyDescent="0.25">
      <c r="A288" s="349" t="s">
        <v>148</v>
      </c>
      <c r="B288" s="347" t="s">
        <v>165</v>
      </c>
      <c r="C288" s="347" t="s">
        <v>314</v>
      </c>
      <c r="D288" s="347" t="s">
        <v>1091</v>
      </c>
      <c r="E288" s="347" t="s">
        <v>149</v>
      </c>
      <c r="F288" s="293">
        <f>'Пр.4 ведом.20'!G987</f>
        <v>3258</v>
      </c>
      <c r="G288" s="293">
        <f>'Пр.4 ведом.20'!H987</f>
        <v>3257.884</v>
      </c>
      <c r="H288" s="337">
        <f t="shared" si="135"/>
        <v>99.996439533456112</v>
      </c>
    </row>
    <row r="289" spans="1:8" ht="15.75" x14ac:dyDescent="0.25">
      <c r="A289" s="318" t="s">
        <v>523</v>
      </c>
      <c r="B289" s="319" t="s">
        <v>165</v>
      </c>
      <c r="C289" s="319" t="s">
        <v>234</v>
      </c>
      <c r="D289" s="347"/>
      <c r="E289" s="319"/>
      <c r="F289" s="4">
        <f t="shared" ref="F289:G289" si="146">F290</f>
        <v>3803.7000000000003</v>
      </c>
      <c r="G289" s="4">
        <f t="shared" si="146"/>
        <v>3730.5</v>
      </c>
      <c r="H289" s="4">
        <f t="shared" si="135"/>
        <v>98.075558009306718</v>
      </c>
    </row>
    <row r="290" spans="1:8" ht="47.25" x14ac:dyDescent="0.25">
      <c r="A290" s="34" t="s">
        <v>1178</v>
      </c>
      <c r="B290" s="319" t="s">
        <v>165</v>
      </c>
      <c r="C290" s="319" t="s">
        <v>234</v>
      </c>
      <c r="D290" s="319" t="s">
        <v>525</v>
      </c>
      <c r="E290" s="319"/>
      <c r="F290" s="325">
        <f>F291+F295</f>
        <v>3803.7000000000003</v>
      </c>
      <c r="G290" s="325">
        <f t="shared" ref="G290" si="147">G291+G295</f>
        <v>3730.5</v>
      </c>
      <c r="H290" s="4">
        <f t="shared" si="135"/>
        <v>98.075558009306718</v>
      </c>
    </row>
    <row r="291" spans="1:8" ht="31.5" hidden="1" x14ac:dyDescent="0.25">
      <c r="A291" s="34" t="s">
        <v>1148</v>
      </c>
      <c r="B291" s="319" t="s">
        <v>165</v>
      </c>
      <c r="C291" s="319" t="s">
        <v>234</v>
      </c>
      <c r="D291" s="312" t="s">
        <v>1092</v>
      </c>
      <c r="E291" s="319"/>
      <c r="F291" s="325">
        <f>F292</f>
        <v>0</v>
      </c>
      <c r="G291" s="325">
        <f t="shared" ref="G291:G293" si="148">G292</f>
        <v>0</v>
      </c>
      <c r="H291" s="4" t="e">
        <f t="shared" si="135"/>
        <v>#DIV/0!</v>
      </c>
    </row>
    <row r="292" spans="1:8" ht="15.75" hidden="1" x14ac:dyDescent="0.25">
      <c r="A292" s="323" t="s">
        <v>1150</v>
      </c>
      <c r="B292" s="347" t="s">
        <v>165</v>
      </c>
      <c r="C292" s="347" t="s">
        <v>234</v>
      </c>
      <c r="D292" s="324" t="s">
        <v>1149</v>
      </c>
      <c r="E292" s="347"/>
      <c r="F292" s="313">
        <f>F293</f>
        <v>0</v>
      </c>
      <c r="G292" s="313">
        <f t="shared" si="148"/>
        <v>0</v>
      </c>
      <c r="H292" s="4" t="e">
        <f t="shared" si="135"/>
        <v>#DIV/0!</v>
      </c>
    </row>
    <row r="293" spans="1:8" ht="31.5" hidden="1" x14ac:dyDescent="0.25">
      <c r="A293" s="349" t="s">
        <v>146</v>
      </c>
      <c r="B293" s="347" t="s">
        <v>165</v>
      </c>
      <c r="C293" s="347" t="s">
        <v>234</v>
      </c>
      <c r="D293" s="324" t="s">
        <v>1149</v>
      </c>
      <c r="E293" s="347" t="s">
        <v>147</v>
      </c>
      <c r="F293" s="293">
        <f>F294</f>
        <v>0</v>
      </c>
      <c r="G293" s="293">
        <f t="shared" si="148"/>
        <v>0</v>
      </c>
      <c r="H293" s="4" t="e">
        <f t="shared" si="135"/>
        <v>#DIV/0!</v>
      </c>
    </row>
    <row r="294" spans="1:8" ht="47.25" hidden="1" x14ac:dyDescent="0.25">
      <c r="A294" s="349" t="s">
        <v>148</v>
      </c>
      <c r="B294" s="347" t="s">
        <v>165</v>
      </c>
      <c r="C294" s="347" t="s">
        <v>234</v>
      </c>
      <c r="D294" s="324" t="s">
        <v>1149</v>
      </c>
      <c r="E294" s="347" t="s">
        <v>149</v>
      </c>
      <c r="F294" s="293">
        <f>'Пр.4 ведом.20'!G993</f>
        <v>0</v>
      </c>
      <c r="G294" s="293">
        <f>'Пр.4 ведом.20'!H993</f>
        <v>0</v>
      </c>
      <c r="H294" s="4" t="e">
        <f t="shared" si="135"/>
        <v>#DIV/0!</v>
      </c>
    </row>
    <row r="295" spans="1:8" ht="31.5" x14ac:dyDescent="0.25">
      <c r="A295" s="34" t="s">
        <v>1235</v>
      </c>
      <c r="B295" s="319" t="s">
        <v>165</v>
      </c>
      <c r="C295" s="319" t="s">
        <v>234</v>
      </c>
      <c r="D295" s="319" t="s">
        <v>1093</v>
      </c>
      <c r="E295" s="319"/>
      <c r="F295" s="295">
        <f>F296</f>
        <v>3803.7000000000003</v>
      </c>
      <c r="G295" s="295">
        <f t="shared" ref="G295" si="149">G296</f>
        <v>3730.5</v>
      </c>
      <c r="H295" s="4">
        <f t="shared" si="135"/>
        <v>98.075558009306718</v>
      </c>
    </row>
    <row r="296" spans="1:8" s="210" customFormat="1" ht="15.75" x14ac:dyDescent="0.25">
      <c r="A296" s="323" t="s">
        <v>526</v>
      </c>
      <c r="B296" s="347" t="s">
        <v>165</v>
      </c>
      <c r="C296" s="347" t="s">
        <v>234</v>
      </c>
      <c r="D296" s="324" t="s">
        <v>1151</v>
      </c>
      <c r="E296" s="347"/>
      <c r="F296" s="293">
        <f>F299+F301+F297</f>
        <v>3803.7000000000003</v>
      </c>
      <c r="G296" s="293">
        <f t="shared" ref="G296" si="150">G299+G301+G297</f>
        <v>3730.5</v>
      </c>
      <c r="H296" s="337">
        <f t="shared" si="135"/>
        <v>98.075558009306718</v>
      </c>
    </row>
    <row r="297" spans="1:8" s="210" customFormat="1" ht="78.75" x14ac:dyDescent="0.25">
      <c r="A297" s="349" t="s">
        <v>142</v>
      </c>
      <c r="B297" s="347" t="s">
        <v>165</v>
      </c>
      <c r="C297" s="347" t="s">
        <v>234</v>
      </c>
      <c r="D297" s="324" t="s">
        <v>1151</v>
      </c>
      <c r="E297" s="347" t="s">
        <v>143</v>
      </c>
      <c r="F297" s="293">
        <f>F298</f>
        <v>2275.8000000000002</v>
      </c>
      <c r="G297" s="293">
        <f t="shared" ref="G297" si="151">G298</f>
        <v>2257.3200000000002</v>
      </c>
      <c r="H297" s="337">
        <f t="shared" si="135"/>
        <v>99.187977853941462</v>
      </c>
    </row>
    <row r="298" spans="1:8" s="210" customFormat="1" ht="31.5" x14ac:dyDescent="0.25">
      <c r="A298" s="349" t="s">
        <v>223</v>
      </c>
      <c r="B298" s="347" t="s">
        <v>165</v>
      </c>
      <c r="C298" s="347" t="s">
        <v>234</v>
      </c>
      <c r="D298" s="324" t="s">
        <v>1151</v>
      </c>
      <c r="E298" s="347" t="s">
        <v>224</v>
      </c>
      <c r="F298" s="293">
        <f>'Пр.4 ведом.20'!G997</f>
        <v>2275.8000000000002</v>
      </c>
      <c r="G298" s="293">
        <f>'Пр.4 ведом.20'!H997</f>
        <v>2257.3200000000002</v>
      </c>
      <c r="H298" s="337">
        <f t="shared" si="135"/>
        <v>99.187977853941462</v>
      </c>
    </row>
    <row r="299" spans="1:8" s="210" customFormat="1" ht="31.5" x14ac:dyDescent="0.25">
      <c r="A299" s="349" t="s">
        <v>146</v>
      </c>
      <c r="B299" s="347" t="s">
        <v>165</v>
      </c>
      <c r="C299" s="347" t="s">
        <v>234</v>
      </c>
      <c r="D299" s="324" t="s">
        <v>1151</v>
      </c>
      <c r="E299" s="347" t="s">
        <v>147</v>
      </c>
      <c r="F299" s="293">
        <f>F300</f>
        <v>1527.9</v>
      </c>
      <c r="G299" s="293">
        <f t="shared" ref="G299" si="152">G300</f>
        <v>1473.18</v>
      </c>
      <c r="H299" s="337">
        <f t="shared" si="135"/>
        <v>96.418613783624579</v>
      </c>
    </row>
    <row r="300" spans="1:8" s="210" customFormat="1" ht="35.450000000000003" customHeight="1" x14ac:dyDescent="0.25">
      <c r="A300" s="349" t="s">
        <v>148</v>
      </c>
      <c r="B300" s="347" t="s">
        <v>165</v>
      </c>
      <c r="C300" s="347" t="s">
        <v>234</v>
      </c>
      <c r="D300" s="324" t="s">
        <v>1151</v>
      </c>
      <c r="E300" s="347" t="s">
        <v>149</v>
      </c>
      <c r="F300" s="293">
        <f>'Пр.4 ведом.20'!G999</f>
        <v>1527.9</v>
      </c>
      <c r="G300" s="293">
        <f>'Пр.4 ведом.20'!H999</f>
        <v>1473.18</v>
      </c>
      <c r="H300" s="337">
        <f t="shared" si="135"/>
        <v>96.418613783624579</v>
      </c>
    </row>
    <row r="301" spans="1:8" s="210" customFormat="1" ht="15.75" hidden="1" x14ac:dyDescent="0.25">
      <c r="A301" s="349" t="s">
        <v>150</v>
      </c>
      <c r="B301" s="347" t="s">
        <v>165</v>
      </c>
      <c r="C301" s="347" t="s">
        <v>234</v>
      </c>
      <c r="D301" s="324" t="s">
        <v>1151</v>
      </c>
      <c r="E301" s="347" t="s">
        <v>160</v>
      </c>
      <c r="F301" s="293">
        <f>F302</f>
        <v>0</v>
      </c>
      <c r="G301" s="293">
        <f t="shared" ref="G301" si="153">G302</f>
        <v>0</v>
      </c>
      <c r="H301" s="337" t="e">
        <f t="shared" si="135"/>
        <v>#DIV/0!</v>
      </c>
    </row>
    <row r="302" spans="1:8" s="210" customFormat="1" ht="15.75" hidden="1" x14ac:dyDescent="0.25">
      <c r="A302" s="349" t="s">
        <v>583</v>
      </c>
      <c r="B302" s="347" t="s">
        <v>165</v>
      </c>
      <c r="C302" s="347" t="s">
        <v>234</v>
      </c>
      <c r="D302" s="324" t="s">
        <v>1151</v>
      </c>
      <c r="E302" s="347" t="s">
        <v>153</v>
      </c>
      <c r="F302" s="293">
        <f>'Пр.4 ведом.20'!G1001</f>
        <v>0</v>
      </c>
      <c r="G302" s="293">
        <f>'Пр.4 ведом.20'!H1001</f>
        <v>0</v>
      </c>
      <c r="H302" s="337" t="e">
        <f t="shared" si="135"/>
        <v>#DIV/0!</v>
      </c>
    </row>
    <row r="303" spans="1:8" ht="22.7" customHeight="1" x14ac:dyDescent="0.25">
      <c r="A303" s="318" t="s">
        <v>252</v>
      </c>
      <c r="B303" s="319" t="s">
        <v>165</v>
      </c>
      <c r="C303" s="319" t="s">
        <v>253</v>
      </c>
      <c r="D303" s="319"/>
      <c r="E303" s="319"/>
      <c r="F303" s="325">
        <f>F304+F316+F343+F311</f>
        <v>700.4</v>
      </c>
      <c r="G303" s="325">
        <f t="shared" ref="G303" si="154">G304+G316+G343+G311</f>
        <v>694.81020000000001</v>
      </c>
      <c r="H303" s="4">
        <f t="shared" si="135"/>
        <v>99.201913192461461</v>
      </c>
    </row>
    <row r="304" spans="1:8" ht="31.5" x14ac:dyDescent="0.25">
      <c r="A304" s="318" t="s">
        <v>988</v>
      </c>
      <c r="B304" s="319" t="s">
        <v>165</v>
      </c>
      <c r="C304" s="319" t="s">
        <v>253</v>
      </c>
      <c r="D304" s="319" t="s">
        <v>902</v>
      </c>
      <c r="E304" s="319"/>
      <c r="F304" s="325">
        <f>F305</f>
        <v>250.39999999999998</v>
      </c>
      <c r="G304" s="325">
        <f t="shared" ref="G304:G305" si="155">G305</f>
        <v>244.81020000000001</v>
      </c>
      <c r="H304" s="4">
        <f t="shared" si="135"/>
        <v>97.767651757188517</v>
      </c>
    </row>
    <row r="305" spans="1:8" ht="31.5" x14ac:dyDescent="0.25">
      <c r="A305" s="318" t="s">
        <v>930</v>
      </c>
      <c r="B305" s="319" t="s">
        <v>165</v>
      </c>
      <c r="C305" s="319" t="s">
        <v>253</v>
      </c>
      <c r="D305" s="319" t="s">
        <v>907</v>
      </c>
      <c r="E305" s="319"/>
      <c r="F305" s="325">
        <f>F306</f>
        <v>250.39999999999998</v>
      </c>
      <c r="G305" s="325">
        <f t="shared" si="155"/>
        <v>244.81020000000001</v>
      </c>
      <c r="H305" s="4">
        <f t="shared" si="135"/>
        <v>97.767651757188517</v>
      </c>
    </row>
    <row r="306" spans="1:8" ht="63" x14ac:dyDescent="0.25">
      <c r="A306" s="31" t="s">
        <v>256</v>
      </c>
      <c r="B306" s="347" t="s">
        <v>165</v>
      </c>
      <c r="C306" s="347" t="s">
        <v>253</v>
      </c>
      <c r="D306" s="347" t="s">
        <v>995</v>
      </c>
      <c r="E306" s="347"/>
      <c r="F306" s="313">
        <f>F307+F309</f>
        <v>250.39999999999998</v>
      </c>
      <c r="G306" s="313">
        <f t="shared" ref="G306" si="156">G307+G309</f>
        <v>244.81020000000001</v>
      </c>
      <c r="H306" s="337">
        <f t="shared" si="135"/>
        <v>97.767651757188517</v>
      </c>
    </row>
    <row r="307" spans="1:8" ht="78.75" x14ac:dyDescent="0.25">
      <c r="A307" s="349" t="s">
        <v>142</v>
      </c>
      <c r="B307" s="347" t="s">
        <v>165</v>
      </c>
      <c r="C307" s="347" t="s">
        <v>253</v>
      </c>
      <c r="D307" s="347" t="s">
        <v>995</v>
      </c>
      <c r="E307" s="347" t="s">
        <v>143</v>
      </c>
      <c r="F307" s="313">
        <f>F308</f>
        <v>217.2</v>
      </c>
      <c r="G307" s="313">
        <f t="shared" ref="G307" si="157">G308</f>
        <v>217.04399000000001</v>
      </c>
      <c r="H307" s="337">
        <f t="shared" si="135"/>
        <v>99.928172191528546</v>
      </c>
    </row>
    <row r="308" spans="1:8" ht="32.25" customHeight="1" x14ac:dyDescent="0.25">
      <c r="A308" s="349" t="s">
        <v>144</v>
      </c>
      <c r="B308" s="347" t="s">
        <v>165</v>
      </c>
      <c r="C308" s="347" t="s">
        <v>253</v>
      </c>
      <c r="D308" s="347" t="s">
        <v>995</v>
      </c>
      <c r="E308" s="347" t="s">
        <v>145</v>
      </c>
      <c r="F308" s="313">
        <f>'Пр.4 ведом.20'!G196</f>
        <v>217.2</v>
      </c>
      <c r="G308" s="313">
        <f>'Пр.4 ведом.20'!H196</f>
        <v>217.04399000000001</v>
      </c>
      <c r="H308" s="337">
        <f t="shared" si="135"/>
        <v>99.928172191528546</v>
      </c>
    </row>
    <row r="309" spans="1:8" ht="31.5" x14ac:dyDescent="0.25">
      <c r="A309" s="349" t="s">
        <v>146</v>
      </c>
      <c r="B309" s="347" t="s">
        <v>165</v>
      </c>
      <c r="C309" s="347" t="s">
        <v>253</v>
      </c>
      <c r="D309" s="347" t="s">
        <v>995</v>
      </c>
      <c r="E309" s="347" t="s">
        <v>147</v>
      </c>
      <c r="F309" s="313">
        <f>F310</f>
        <v>33.200000000000003</v>
      </c>
      <c r="G309" s="313">
        <f t="shared" ref="G309" si="158">G310</f>
        <v>27.766210000000001</v>
      </c>
      <c r="H309" s="337">
        <f t="shared" si="135"/>
        <v>83.633162650602415</v>
      </c>
    </row>
    <row r="310" spans="1:8" ht="47.25" x14ac:dyDescent="0.25">
      <c r="A310" s="349" t="s">
        <v>148</v>
      </c>
      <c r="B310" s="347" t="s">
        <v>165</v>
      </c>
      <c r="C310" s="347" t="s">
        <v>253</v>
      </c>
      <c r="D310" s="347" t="s">
        <v>995</v>
      </c>
      <c r="E310" s="347" t="s">
        <v>149</v>
      </c>
      <c r="F310" s="313">
        <f>'Пр.4 ведом.20'!G198</f>
        <v>33.200000000000003</v>
      </c>
      <c r="G310" s="313">
        <f>'Пр.4 ведом.20'!H198</f>
        <v>27.766210000000001</v>
      </c>
      <c r="H310" s="337">
        <f t="shared" si="135"/>
        <v>83.633162650602415</v>
      </c>
    </row>
    <row r="311" spans="1:8" s="309" customFormat="1" ht="15.75" x14ac:dyDescent="0.25">
      <c r="A311" s="318" t="s">
        <v>156</v>
      </c>
      <c r="B311" s="319" t="s">
        <v>165</v>
      </c>
      <c r="C311" s="319" t="s">
        <v>253</v>
      </c>
      <c r="D311" s="319" t="s">
        <v>910</v>
      </c>
      <c r="E311" s="347"/>
      <c r="F311" s="325">
        <f>F312</f>
        <v>350</v>
      </c>
      <c r="G311" s="325">
        <f t="shared" ref="G311:G314" si="159">G312</f>
        <v>350</v>
      </c>
      <c r="H311" s="4">
        <f t="shared" si="135"/>
        <v>100</v>
      </c>
    </row>
    <row r="312" spans="1:8" s="309" customFormat="1" ht="31.5" x14ac:dyDescent="0.25">
      <c r="A312" s="318" t="s">
        <v>914</v>
      </c>
      <c r="B312" s="319" t="s">
        <v>165</v>
      </c>
      <c r="C312" s="319" t="s">
        <v>253</v>
      </c>
      <c r="D312" s="319" t="s">
        <v>909</v>
      </c>
      <c r="E312" s="347"/>
      <c r="F312" s="325">
        <f>F313</f>
        <v>350</v>
      </c>
      <c r="G312" s="325">
        <f t="shared" si="159"/>
        <v>350</v>
      </c>
      <c r="H312" s="4">
        <f t="shared" si="135"/>
        <v>100</v>
      </c>
    </row>
    <row r="313" spans="1:8" s="309" customFormat="1" ht="31.5" x14ac:dyDescent="0.25">
      <c r="A313" s="349" t="s">
        <v>1500</v>
      </c>
      <c r="B313" s="347" t="s">
        <v>165</v>
      </c>
      <c r="C313" s="347" t="s">
        <v>253</v>
      </c>
      <c r="D313" s="347" t="s">
        <v>1501</v>
      </c>
      <c r="E313" s="347"/>
      <c r="F313" s="313">
        <f>F314</f>
        <v>350</v>
      </c>
      <c r="G313" s="313">
        <f t="shared" si="159"/>
        <v>350</v>
      </c>
      <c r="H313" s="337">
        <f t="shared" si="135"/>
        <v>100</v>
      </c>
    </row>
    <row r="314" spans="1:8" s="309" customFormat="1" ht="31.5" x14ac:dyDescent="0.25">
      <c r="A314" s="349" t="s">
        <v>146</v>
      </c>
      <c r="B314" s="347" t="s">
        <v>165</v>
      </c>
      <c r="C314" s="347" t="s">
        <v>253</v>
      </c>
      <c r="D314" s="347" t="s">
        <v>1501</v>
      </c>
      <c r="E314" s="347" t="s">
        <v>147</v>
      </c>
      <c r="F314" s="313">
        <f>F315</f>
        <v>350</v>
      </c>
      <c r="G314" s="313">
        <f t="shared" si="159"/>
        <v>350</v>
      </c>
      <c r="H314" s="337">
        <f t="shared" si="135"/>
        <v>100</v>
      </c>
    </row>
    <row r="315" spans="1:8" s="310" customFormat="1" ht="47.25" x14ac:dyDescent="0.25">
      <c r="A315" s="349" t="s">
        <v>148</v>
      </c>
      <c r="B315" s="347" t="s">
        <v>165</v>
      </c>
      <c r="C315" s="347" t="s">
        <v>253</v>
      </c>
      <c r="D315" s="347" t="s">
        <v>1501</v>
      </c>
      <c r="E315" s="347" t="s">
        <v>149</v>
      </c>
      <c r="F315" s="313">
        <f>'Пр.4 ведом.20'!G1007</f>
        <v>350</v>
      </c>
      <c r="G315" s="313">
        <f>'Пр.4 ведом.20'!H1007</f>
        <v>350</v>
      </c>
      <c r="H315" s="337">
        <f t="shared" si="135"/>
        <v>100</v>
      </c>
    </row>
    <row r="316" spans="1:8" s="210" customFormat="1" ht="47.25" hidden="1" x14ac:dyDescent="0.25">
      <c r="A316" s="318" t="s">
        <v>358</v>
      </c>
      <c r="B316" s="319" t="s">
        <v>165</v>
      </c>
      <c r="C316" s="319" t="s">
        <v>253</v>
      </c>
      <c r="D316" s="319" t="s">
        <v>359</v>
      </c>
      <c r="E316" s="228"/>
      <c r="F316" s="325">
        <f>F317</f>
        <v>0</v>
      </c>
      <c r="G316" s="325">
        <f t="shared" ref="G316" si="160">G317</f>
        <v>0</v>
      </c>
      <c r="H316" s="337" t="e">
        <f t="shared" si="135"/>
        <v>#DIV/0!</v>
      </c>
    </row>
    <row r="317" spans="1:8" s="210" customFormat="1" ht="63" hidden="1" x14ac:dyDescent="0.25">
      <c r="A317" s="318" t="s">
        <v>382</v>
      </c>
      <c r="B317" s="319" t="s">
        <v>165</v>
      </c>
      <c r="C317" s="319" t="s">
        <v>253</v>
      </c>
      <c r="D317" s="319" t="s">
        <v>383</v>
      </c>
      <c r="E317" s="319"/>
      <c r="F317" s="325">
        <f>F318+F325+F332+F339</f>
        <v>0</v>
      </c>
      <c r="G317" s="325">
        <f t="shared" ref="G317" si="161">G318+G325+G332+G339</f>
        <v>0</v>
      </c>
      <c r="H317" s="337" t="e">
        <f t="shared" si="135"/>
        <v>#DIV/0!</v>
      </c>
    </row>
    <row r="318" spans="1:8" s="210" customFormat="1" ht="47.25" hidden="1" x14ac:dyDescent="0.25">
      <c r="A318" s="220" t="s">
        <v>1209</v>
      </c>
      <c r="B318" s="319" t="s">
        <v>165</v>
      </c>
      <c r="C318" s="319" t="s">
        <v>253</v>
      </c>
      <c r="D318" s="319" t="s">
        <v>935</v>
      </c>
      <c r="E318" s="319"/>
      <c r="F318" s="325">
        <f>F319+F322</f>
        <v>0</v>
      </c>
      <c r="G318" s="325">
        <f t="shared" ref="G318" si="162">G319+G322</f>
        <v>0</v>
      </c>
      <c r="H318" s="337" t="e">
        <f t="shared" si="135"/>
        <v>#DIV/0!</v>
      </c>
    </row>
    <row r="319" spans="1:8" s="210" customFormat="1" ht="47.25" hidden="1" x14ac:dyDescent="0.25">
      <c r="A319" s="349" t="s">
        <v>390</v>
      </c>
      <c r="B319" s="347" t="s">
        <v>165</v>
      </c>
      <c r="C319" s="347" t="s">
        <v>253</v>
      </c>
      <c r="D319" s="347" t="s">
        <v>1210</v>
      </c>
      <c r="E319" s="347"/>
      <c r="F319" s="313">
        <f>F320</f>
        <v>0</v>
      </c>
      <c r="G319" s="313">
        <f t="shared" ref="G319:G320" si="163">G320</f>
        <v>0</v>
      </c>
      <c r="H319" s="337" t="e">
        <f t="shared" si="135"/>
        <v>#DIV/0!</v>
      </c>
    </row>
    <row r="320" spans="1:8" s="210" customFormat="1" ht="21.2" hidden="1" customHeight="1" x14ac:dyDescent="0.25">
      <c r="A320" s="349" t="s">
        <v>263</v>
      </c>
      <c r="B320" s="347" t="s">
        <v>165</v>
      </c>
      <c r="C320" s="347" t="s">
        <v>253</v>
      </c>
      <c r="D320" s="347" t="s">
        <v>1210</v>
      </c>
      <c r="E320" s="347" t="s">
        <v>264</v>
      </c>
      <c r="F320" s="313">
        <f>F321</f>
        <v>0</v>
      </c>
      <c r="G320" s="313">
        <f t="shared" si="163"/>
        <v>0</v>
      </c>
      <c r="H320" s="337" t="e">
        <f t="shared" si="135"/>
        <v>#DIV/0!</v>
      </c>
    </row>
    <row r="321" spans="1:8" s="210" customFormat="1" ht="31.5" hidden="1" x14ac:dyDescent="0.25">
      <c r="A321" s="349" t="s">
        <v>265</v>
      </c>
      <c r="B321" s="347" t="s">
        <v>165</v>
      </c>
      <c r="C321" s="347" t="s">
        <v>253</v>
      </c>
      <c r="D321" s="347" t="s">
        <v>1210</v>
      </c>
      <c r="E321" s="347" t="s">
        <v>266</v>
      </c>
      <c r="F321" s="313">
        <f>'Пр.4 ведом.20'!G274</f>
        <v>0</v>
      </c>
      <c r="G321" s="313">
        <f>'Пр.4 ведом.20'!H274</f>
        <v>0</v>
      </c>
      <c r="H321" s="337" t="e">
        <f t="shared" si="135"/>
        <v>#DIV/0!</v>
      </c>
    </row>
    <row r="322" spans="1:8" s="210" customFormat="1" ht="47.25" hidden="1" x14ac:dyDescent="0.25">
      <c r="A322" s="349" t="s">
        <v>390</v>
      </c>
      <c r="B322" s="347" t="s">
        <v>165</v>
      </c>
      <c r="C322" s="347" t="s">
        <v>253</v>
      </c>
      <c r="D322" s="347" t="s">
        <v>1211</v>
      </c>
      <c r="E322" s="347"/>
      <c r="F322" s="313">
        <f>F323</f>
        <v>0</v>
      </c>
      <c r="G322" s="313">
        <f t="shared" ref="G322:G323" si="164">G323</f>
        <v>0</v>
      </c>
      <c r="H322" s="337" t="e">
        <f t="shared" si="135"/>
        <v>#DIV/0!</v>
      </c>
    </row>
    <row r="323" spans="1:8" s="210" customFormat="1" ht="18.75" hidden="1" customHeight="1" x14ac:dyDescent="0.25">
      <c r="A323" s="349" t="s">
        <v>263</v>
      </c>
      <c r="B323" s="347" t="s">
        <v>165</v>
      </c>
      <c r="C323" s="347" t="s">
        <v>253</v>
      </c>
      <c r="D323" s="347" t="s">
        <v>1211</v>
      </c>
      <c r="E323" s="347" t="s">
        <v>264</v>
      </c>
      <c r="F323" s="313">
        <f>F324</f>
        <v>0</v>
      </c>
      <c r="G323" s="313">
        <f t="shared" si="164"/>
        <v>0</v>
      </c>
      <c r="H323" s="337" t="e">
        <f t="shared" si="135"/>
        <v>#DIV/0!</v>
      </c>
    </row>
    <row r="324" spans="1:8" s="210" customFormat="1" ht="31.5" hidden="1" x14ac:dyDescent="0.25">
      <c r="A324" s="349" t="s">
        <v>265</v>
      </c>
      <c r="B324" s="347" t="s">
        <v>165</v>
      </c>
      <c r="C324" s="347" t="s">
        <v>253</v>
      </c>
      <c r="D324" s="347" t="s">
        <v>1211</v>
      </c>
      <c r="E324" s="347" t="s">
        <v>266</v>
      </c>
      <c r="F324" s="313">
        <f>'Пр.4 ведом.20'!G277</f>
        <v>0</v>
      </c>
      <c r="G324" s="313">
        <f>'Пр.4 ведом.20'!H277</f>
        <v>0</v>
      </c>
      <c r="H324" s="337" t="e">
        <f t="shared" si="135"/>
        <v>#DIV/0!</v>
      </c>
    </row>
    <row r="325" spans="1:8" s="210" customFormat="1" ht="31.5" hidden="1" x14ac:dyDescent="0.25">
      <c r="A325" s="318" t="s">
        <v>1207</v>
      </c>
      <c r="B325" s="319" t="s">
        <v>165</v>
      </c>
      <c r="C325" s="319" t="s">
        <v>253</v>
      </c>
      <c r="D325" s="319" t="s">
        <v>936</v>
      </c>
      <c r="E325" s="319"/>
      <c r="F325" s="325">
        <f>F326+F329</f>
        <v>0</v>
      </c>
      <c r="G325" s="325">
        <f t="shared" ref="G325" si="165">G326+G329</f>
        <v>0</v>
      </c>
      <c r="H325" s="337" t="e">
        <f t="shared" si="135"/>
        <v>#DIV/0!</v>
      </c>
    </row>
    <row r="326" spans="1:8" s="210" customFormat="1" ht="31.5" hidden="1" x14ac:dyDescent="0.25">
      <c r="A326" s="349" t="s">
        <v>1208</v>
      </c>
      <c r="B326" s="347" t="s">
        <v>165</v>
      </c>
      <c r="C326" s="347" t="s">
        <v>253</v>
      </c>
      <c r="D326" s="347" t="s">
        <v>1212</v>
      </c>
      <c r="E326" s="347"/>
      <c r="F326" s="313">
        <f>F327</f>
        <v>0</v>
      </c>
      <c r="G326" s="313">
        <f t="shared" ref="G326:G327" si="166">G327</f>
        <v>0</v>
      </c>
      <c r="H326" s="337" t="e">
        <f t="shared" si="135"/>
        <v>#DIV/0!</v>
      </c>
    </row>
    <row r="327" spans="1:8" s="210" customFormat="1" ht="15.75" hidden="1" x14ac:dyDescent="0.25">
      <c r="A327" s="349" t="s">
        <v>150</v>
      </c>
      <c r="B327" s="347" t="s">
        <v>165</v>
      </c>
      <c r="C327" s="347" t="s">
        <v>253</v>
      </c>
      <c r="D327" s="347" t="s">
        <v>1212</v>
      </c>
      <c r="E327" s="347" t="s">
        <v>160</v>
      </c>
      <c r="F327" s="313">
        <f>F328</f>
        <v>0</v>
      </c>
      <c r="G327" s="313">
        <f t="shared" si="166"/>
        <v>0</v>
      </c>
      <c r="H327" s="337" t="e">
        <f t="shared" si="135"/>
        <v>#DIV/0!</v>
      </c>
    </row>
    <row r="328" spans="1:8" s="210" customFormat="1" ht="47.25" hidden="1" x14ac:dyDescent="0.25">
      <c r="A328" s="349" t="s">
        <v>199</v>
      </c>
      <c r="B328" s="347" t="s">
        <v>165</v>
      </c>
      <c r="C328" s="347" t="s">
        <v>253</v>
      </c>
      <c r="D328" s="347" t="s">
        <v>1212</v>
      </c>
      <c r="E328" s="347" t="s">
        <v>175</v>
      </c>
      <c r="F328" s="313">
        <f>'Пр.4 ведом.20'!G281</f>
        <v>0</v>
      </c>
      <c r="G328" s="313">
        <f>'Пр.4 ведом.20'!H281</f>
        <v>0</v>
      </c>
      <c r="H328" s="337" t="e">
        <f t="shared" si="135"/>
        <v>#DIV/0!</v>
      </c>
    </row>
    <row r="329" spans="1:8" s="210" customFormat="1" ht="110.25" hidden="1" x14ac:dyDescent="0.25">
      <c r="A329" s="349" t="s">
        <v>388</v>
      </c>
      <c r="B329" s="347" t="s">
        <v>165</v>
      </c>
      <c r="C329" s="347" t="s">
        <v>253</v>
      </c>
      <c r="D329" s="347" t="s">
        <v>1213</v>
      </c>
      <c r="E329" s="347"/>
      <c r="F329" s="313">
        <f>F330</f>
        <v>0</v>
      </c>
      <c r="G329" s="313">
        <f t="shared" ref="G329:G330" si="167">G330</f>
        <v>0</v>
      </c>
      <c r="H329" s="337" t="e">
        <f t="shared" ref="H329:H392" si="168">G329/F329*100</f>
        <v>#DIV/0!</v>
      </c>
    </row>
    <row r="330" spans="1:8" s="210" customFormat="1" ht="15.75" hidden="1" x14ac:dyDescent="0.25">
      <c r="A330" s="349" t="s">
        <v>150</v>
      </c>
      <c r="B330" s="347" t="s">
        <v>165</v>
      </c>
      <c r="C330" s="347" t="s">
        <v>253</v>
      </c>
      <c r="D330" s="347" t="s">
        <v>1213</v>
      </c>
      <c r="E330" s="347" t="s">
        <v>160</v>
      </c>
      <c r="F330" s="313">
        <f>F331</f>
        <v>0</v>
      </c>
      <c r="G330" s="313">
        <f t="shared" si="167"/>
        <v>0</v>
      </c>
      <c r="H330" s="337" t="e">
        <f t="shared" si="168"/>
        <v>#DIV/0!</v>
      </c>
    </row>
    <row r="331" spans="1:8" s="210" customFormat="1" ht="47.25" hidden="1" x14ac:dyDescent="0.25">
      <c r="A331" s="349" t="s">
        <v>199</v>
      </c>
      <c r="B331" s="347" t="s">
        <v>165</v>
      </c>
      <c r="C331" s="347" t="s">
        <v>253</v>
      </c>
      <c r="D331" s="347" t="s">
        <v>1213</v>
      </c>
      <c r="E331" s="347" t="s">
        <v>175</v>
      </c>
      <c r="F331" s="313">
        <f>'Пр.4 ведом.20'!G284</f>
        <v>0</v>
      </c>
      <c r="G331" s="313">
        <f>'Пр.4 ведом.20'!H284</f>
        <v>0</v>
      </c>
      <c r="H331" s="337" t="e">
        <f t="shared" si="168"/>
        <v>#DIV/0!</v>
      </c>
    </row>
    <row r="332" spans="1:8" s="210" customFormat="1" ht="31.5" hidden="1" x14ac:dyDescent="0.25">
      <c r="A332" s="318" t="s">
        <v>1143</v>
      </c>
      <c r="B332" s="319" t="s">
        <v>165</v>
      </c>
      <c r="C332" s="319" t="s">
        <v>253</v>
      </c>
      <c r="D332" s="319" t="s">
        <v>937</v>
      </c>
      <c r="E332" s="319"/>
      <c r="F332" s="325">
        <f>F333+F336</f>
        <v>0</v>
      </c>
      <c r="G332" s="325">
        <f t="shared" ref="G332" si="169">G333+G336</f>
        <v>0</v>
      </c>
      <c r="H332" s="337" t="e">
        <f t="shared" si="168"/>
        <v>#DIV/0!</v>
      </c>
    </row>
    <row r="333" spans="1:8" s="210" customFormat="1" ht="31.5" hidden="1" x14ac:dyDescent="0.25">
      <c r="A333" s="261" t="s">
        <v>1216</v>
      </c>
      <c r="B333" s="347" t="s">
        <v>165</v>
      </c>
      <c r="C333" s="347" t="s">
        <v>253</v>
      </c>
      <c r="D333" s="347" t="s">
        <v>1214</v>
      </c>
      <c r="E333" s="347"/>
      <c r="F333" s="313">
        <f>F334</f>
        <v>0</v>
      </c>
      <c r="G333" s="313">
        <f t="shared" ref="G333:G334" si="170">G334</f>
        <v>0</v>
      </c>
      <c r="H333" s="337" t="e">
        <f t="shared" si="168"/>
        <v>#DIV/0!</v>
      </c>
    </row>
    <row r="334" spans="1:8" s="210" customFormat="1" ht="31.5" hidden="1" x14ac:dyDescent="0.25">
      <c r="A334" s="349" t="s">
        <v>146</v>
      </c>
      <c r="B334" s="347" t="s">
        <v>165</v>
      </c>
      <c r="C334" s="347" t="s">
        <v>253</v>
      </c>
      <c r="D334" s="347" t="s">
        <v>1214</v>
      </c>
      <c r="E334" s="347" t="s">
        <v>147</v>
      </c>
      <c r="F334" s="313">
        <f>F335</f>
        <v>0</v>
      </c>
      <c r="G334" s="313">
        <f t="shared" si="170"/>
        <v>0</v>
      </c>
      <c r="H334" s="337" t="e">
        <f t="shared" si="168"/>
        <v>#DIV/0!</v>
      </c>
    </row>
    <row r="335" spans="1:8" s="210" customFormat="1" ht="47.25" hidden="1" x14ac:dyDescent="0.25">
      <c r="A335" s="349" t="s">
        <v>148</v>
      </c>
      <c r="B335" s="347" t="s">
        <v>165</v>
      </c>
      <c r="C335" s="347" t="s">
        <v>253</v>
      </c>
      <c r="D335" s="347" t="s">
        <v>1214</v>
      </c>
      <c r="E335" s="347" t="s">
        <v>149</v>
      </c>
      <c r="F335" s="313">
        <f>'Пр.4 ведом.20'!G288</f>
        <v>0</v>
      </c>
      <c r="G335" s="313">
        <f>'Пр.4 ведом.20'!H288</f>
        <v>0</v>
      </c>
      <c r="H335" s="337" t="e">
        <f t="shared" si="168"/>
        <v>#DIV/0!</v>
      </c>
    </row>
    <row r="336" spans="1:8" s="210" customFormat="1" ht="31.5" hidden="1" x14ac:dyDescent="0.25">
      <c r="A336" s="349" t="s">
        <v>392</v>
      </c>
      <c r="B336" s="347" t="s">
        <v>165</v>
      </c>
      <c r="C336" s="347" t="s">
        <v>253</v>
      </c>
      <c r="D336" s="347" t="s">
        <v>1215</v>
      </c>
      <c r="E336" s="347"/>
      <c r="F336" s="313">
        <f>F337</f>
        <v>0</v>
      </c>
      <c r="G336" s="313">
        <f t="shared" ref="G336:G337" si="171">G337</f>
        <v>0</v>
      </c>
      <c r="H336" s="337" t="e">
        <f t="shared" si="168"/>
        <v>#DIV/0!</v>
      </c>
    </row>
    <row r="337" spans="1:12" s="210" customFormat="1" ht="31.5" hidden="1" x14ac:dyDescent="0.25">
      <c r="A337" s="349" t="s">
        <v>146</v>
      </c>
      <c r="B337" s="347" t="s">
        <v>165</v>
      </c>
      <c r="C337" s="347" t="s">
        <v>253</v>
      </c>
      <c r="D337" s="347" t="s">
        <v>1215</v>
      </c>
      <c r="E337" s="347" t="s">
        <v>147</v>
      </c>
      <c r="F337" s="313">
        <f>F338</f>
        <v>0</v>
      </c>
      <c r="G337" s="313">
        <f t="shared" si="171"/>
        <v>0</v>
      </c>
      <c r="H337" s="337" t="e">
        <f t="shared" si="168"/>
        <v>#DIV/0!</v>
      </c>
    </row>
    <row r="338" spans="1:12" s="210" customFormat="1" ht="47.25" hidden="1" x14ac:dyDescent="0.25">
      <c r="A338" s="349" t="s">
        <v>148</v>
      </c>
      <c r="B338" s="347" t="s">
        <v>165</v>
      </c>
      <c r="C338" s="347" t="s">
        <v>253</v>
      </c>
      <c r="D338" s="347" t="s">
        <v>1215</v>
      </c>
      <c r="E338" s="347" t="s">
        <v>149</v>
      </c>
      <c r="F338" s="313">
        <f>'Пр.4 ведом.20'!G291</f>
        <v>0</v>
      </c>
      <c r="G338" s="313">
        <f>'Пр.4 ведом.20'!H291</f>
        <v>0</v>
      </c>
      <c r="H338" s="337" t="e">
        <f t="shared" si="168"/>
        <v>#DIV/0!</v>
      </c>
    </row>
    <row r="339" spans="1:12" s="210" customFormat="1" ht="31.5" hidden="1" x14ac:dyDescent="0.25">
      <c r="A339" s="217" t="s">
        <v>1304</v>
      </c>
      <c r="B339" s="319" t="s">
        <v>165</v>
      </c>
      <c r="C339" s="319" t="s">
        <v>253</v>
      </c>
      <c r="D339" s="319" t="s">
        <v>1303</v>
      </c>
      <c r="E339" s="319"/>
      <c r="F339" s="317">
        <f>F340</f>
        <v>0</v>
      </c>
      <c r="G339" s="317">
        <f t="shared" ref="G339:G341" si="172">G340</f>
        <v>0</v>
      </c>
      <c r="H339" s="337" t="e">
        <f t="shared" si="168"/>
        <v>#DIV/0!</v>
      </c>
    </row>
    <row r="340" spans="1:12" s="210" customFormat="1" ht="31.5" hidden="1" x14ac:dyDescent="0.25">
      <c r="A340" s="239" t="s">
        <v>1305</v>
      </c>
      <c r="B340" s="347" t="s">
        <v>165</v>
      </c>
      <c r="C340" s="347" t="s">
        <v>253</v>
      </c>
      <c r="D340" s="347" t="s">
        <v>1352</v>
      </c>
      <c r="E340" s="347"/>
      <c r="F340" s="321">
        <f>F341</f>
        <v>0</v>
      </c>
      <c r="G340" s="321">
        <f t="shared" si="172"/>
        <v>0</v>
      </c>
      <c r="H340" s="337" t="e">
        <f t="shared" si="168"/>
        <v>#DIV/0!</v>
      </c>
    </row>
    <row r="341" spans="1:12" s="210" customFormat="1" ht="31.5" hidden="1" x14ac:dyDescent="0.25">
      <c r="A341" s="349" t="s">
        <v>146</v>
      </c>
      <c r="B341" s="347" t="s">
        <v>165</v>
      </c>
      <c r="C341" s="347" t="s">
        <v>253</v>
      </c>
      <c r="D341" s="347" t="s">
        <v>1352</v>
      </c>
      <c r="E341" s="347" t="s">
        <v>147</v>
      </c>
      <c r="F341" s="321">
        <f>F342</f>
        <v>0</v>
      </c>
      <c r="G341" s="321">
        <f t="shared" si="172"/>
        <v>0</v>
      </c>
      <c r="H341" s="337" t="e">
        <f t="shared" si="168"/>
        <v>#DIV/0!</v>
      </c>
    </row>
    <row r="342" spans="1:12" s="210" customFormat="1" ht="47.25" hidden="1" x14ac:dyDescent="0.25">
      <c r="A342" s="349" t="s">
        <v>148</v>
      </c>
      <c r="B342" s="347" t="s">
        <v>165</v>
      </c>
      <c r="C342" s="347" t="s">
        <v>253</v>
      </c>
      <c r="D342" s="347" t="s">
        <v>1352</v>
      </c>
      <c r="E342" s="347" t="s">
        <v>149</v>
      </c>
      <c r="F342" s="321">
        <f>'Пр.4 ведом.20'!G295</f>
        <v>0</v>
      </c>
      <c r="G342" s="321">
        <f>'Пр.4 ведом.20'!H295</f>
        <v>0</v>
      </c>
      <c r="H342" s="337" t="e">
        <f t="shared" si="168"/>
        <v>#DIV/0!</v>
      </c>
    </row>
    <row r="343" spans="1:12" ht="47.25" x14ac:dyDescent="0.25">
      <c r="A343" s="318" t="s">
        <v>1237</v>
      </c>
      <c r="B343" s="319" t="s">
        <v>165</v>
      </c>
      <c r="C343" s="319" t="s">
        <v>253</v>
      </c>
      <c r="D343" s="319" t="s">
        <v>171</v>
      </c>
      <c r="E343" s="319"/>
      <c r="F343" s="325">
        <f>F344</f>
        <v>100</v>
      </c>
      <c r="G343" s="325">
        <f t="shared" ref="G343" si="173">G344</f>
        <v>100</v>
      </c>
      <c r="H343" s="4">
        <f t="shared" si="168"/>
        <v>100</v>
      </c>
    </row>
    <row r="344" spans="1:12" ht="47.25" x14ac:dyDescent="0.25">
      <c r="A344" s="318" t="s">
        <v>1241</v>
      </c>
      <c r="B344" s="319" t="s">
        <v>165</v>
      </c>
      <c r="C344" s="319" t="s">
        <v>253</v>
      </c>
      <c r="D344" s="319" t="s">
        <v>1238</v>
      </c>
      <c r="E344" s="319"/>
      <c r="F344" s="325">
        <f>F345+F348</f>
        <v>100</v>
      </c>
      <c r="G344" s="325">
        <f t="shared" ref="G344" si="174">G345+G348</f>
        <v>100</v>
      </c>
      <c r="H344" s="4">
        <f t="shared" si="168"/>
        <v>100</v>
      </c>
    </row>
    <row r="345" spans="1:12" ht="31.5" x14ac:dyDescent="0.25">
      <c r="A345" s="349" t="s">
        <v>1242</v>
      </c>
      <c r="B345" s="347" t="s">
        <v>165</v>
      </c>
      <c r="C345" s="347" t="s">
        <v>253</v>
      </c>
      <c r="D345" s="347" t="s">
        <v>1239</v>
      </c>
      <c r="E345" s="347"/>
      <c r="F345" s="313">
        <f>F346</f>
        <v>100</v>
      </c>
      <c r="G345" s="313">
        <f t="shared" ref="G345:G346" si="175">G346</f>
        <v>100</v>
      </c>
      <c r="H345" s="337">
        <f t="shared" si="168"/>
        <v>100</v>
      </c>
    </row>
    <row r="346" spans="1:12" ht="15.75" x14ac:dyDescent="0.25">
      <c r="A346" s="349" t="s">
        <v>150</v>
      </c>
      <c r="B346" s="347" t="s">
        <v>165</v>
      </c>
      <c r="C346" s="347" t="s">
        <v>253</v>
      </c>
      <c r="D346" s="347" t="s">
        <v>1239</v>
      </c>
      <c r="E346" s="347" t="s">
        <v>160</v>
      </c>
      <c r="F346" s="313">
        <f>F347</f>
        <v>100</v>
      </c>
      <c r="G346" s="313">
        <f t="shared" si="175"/>
        <v>100</v>
      </c>
      <c r="H346" s="337">
        <f t="shared" si="168"/>
        <v>100</v>
      </c>
    </row>
    <row r="347" spans="1:12" ht="47.25" x14ac:dyDescent="0.25">
      <c r="A347" s="349" t="s">
        <v>199</v>
      </c>
      <c r="B347" s="347" t="s">
        <v>165</v>
      </c>
      <c r="C347" s="347" t="s">
        <v>253</v>
      </c>
      <c r="D347" s="347" t="s">
        <v>1239</v>
      </c>
      <c r="E347" s="347" t="s">
        <v>175</v>
      </c>
      <c r="F347" s="313">
        <f>'Пр.4 ведом.20'!G203</f>
        <v>100</v>
      </c>
      <c r="G347" s="313">
        <f>'Пр.4 ведом.20'!H203</f>
        <v>100</v>
      </c>
      <c r="H347" s="337">
        <f t="shared" si="168"/>
        <v>100</v>
      </c>
    </row>
    <row r="348" spans="1:12" ht="31.5" hidden="1" x14ac:dyDescent="0.25">
      <c r="A348" s="349" t="s">
        <v>254</v>
      </c>
      <c r="B348" s="347" t="s">
        <v>165</v>
      </c>
      <c r="C348" s="347" t="s">
        <v>253</v>
      </c>
      <c r="D348" s="347" t="s">
        <v>1240</v>
      </c>
      <c r="E348" s="319"/>
      <c r="F348" s="313">
        <f>F349</f>
        <v>0</v>
      </c>
      <c r="G348" s="313">
        <f t="shared" ref="G348:G349" si="176">G349</f>
        <v>0</v>
      </c>
      <c r="H348" s="337" t="e">
        <f t="shared" si="168"/>
        <v>#DIV/0!</v>
      </c>
    </row>
    <row r="349" spans="1:12" ht="15.75" hidden="1" x14ac:dyDescent="0.25">
      <c r="A349" s="349" t="s">
        <v>150</v>
      </c>
      <c r="B349" s="347" t="s">
        <v>165</v>
      </c>
      <c r="C349" s="347" t="s">
        <v>253</v>
      </c>
      <c r="D349" s="347" t="s">
        <v>1240</v>
      </c>
      <c r="E349" s="347" t="s">
        <v>160</v>
      </c>
      <c r="F349" s="313">
        <f>F350</f>
        <v>0</v>
      </c>
      <c r="G349" s="313">
        <f t="shared" si="176"/>
        <v>0</v>
      </c>
      <c r="H349" s="337" t="e">
        <f t="shared" si="168"/>
        <v>#DIV/0!</v>
      </c>
    </row>
    <row r="350" spans="1:12" ht="47.25" hidden="1" x14ac:dyDescent="0.25">
      <c r="A350" s="349" t="s">
        <v>199</v>
      </c>
      <c r="B350" s="347" t="s">
        <v>165</v>
      </c>
      <c r="C350" s="347" t="s">
        <v>253</v>
      </c>
      <c r="D350" s="347" t="s">
        <v>1240</v>
      </c>
      <c r="E350" s="347" t="s">
        <v>175</v>
      </c>
      <c r="F350" s="313">
        <f>'Пр.4 ведом.20'!G206</f>
        <v>0</v>
      </c>
      <c r="G350" s="313">
        <f>'Пр.4 ведом.20'!H206</f>
        <v>0</v>
      </c>
      <c r="H350" s="337" t="e">
        <f t="shared" si="168"/>
        <v>#DIV/0!</v>
      </c>
    </row>
    <row r="351" spans="1:12" ht="15.75" x14ac:dyDescent="0.25">
      <c r="A351" s="318" t="s">
        <v>405</v>
      </c>
      <c r="B351" s="319" t="s">
        <v>249</v>
      </c>
      <c r="C351" s="319"/>
      <c r="D351" s="319"/>
      <c r="E351" s="319"/>
      <c r="F351" s="4">
        <f>F352++F369+F439+F490</f>
        <v>87032.848199999993</v>
      </c>
      <c r="G351" s="4">
        <f t="shared" ref="G351" si="177">G352++G369+G439+G490</f>
        <v>82814.091369999995</v>
      </c>
      <c r="H351" s="4">
        <f t="shared" si="168"/>
        <v>95.152684397613456</v>
      </c>
    </row>
    <row r="352" spans="1:12" ht="15.75" x14ac:dyDescent="0.25">
      <c r="A352" s="318" t="s">
        <v>406</v>
      </c>
      <c r="B352" s="319" t="s">
        <v>249</v>
      </c>
      <c r="C352" s="319" t="s">
        <v>133</v>
      </c>
      <c r="D352" s="319"/>
      <c r="E352" s="319"/>
      <c r="F352" s="4">
        <f t="shared" ref="F352:G353" si="178">F353</f>
        <v>7906.1299999999992</v>
      </c>
      <c r="G352" s="4">
        <f t="shared" si="178"/>
        <v>7837.1505699999998</v>
      </c>
      <c r="H352" s="4">
        <f t="shared" si="168"/>
        <v>99.127519658796416</v>
      </c>
      <c r="I352" s="22"/>
      <c r="L352" s="22"/>
    </row>
    <row r="353" spans="1:8" ht="15.75" x14ac:dyDescent="0.25">
      <c r="A353" s="318" t="s">
        <v>156</v>
      </c>
      <c r="B353" s="319" t="s">
        <v>249</v>
      </c>
      <c r="C353" s="319" t="s">
        <v>133</v>
      </c>
      <c r="D353" s="319" t="s">
        <v>910</v>
      </c>
      <c r="E353" s="319"/>
      <c r="F353" s="4">
        <f t="shared" si="178"/>
        <v>7906.1299999999992</v>
      </c>
      <c r="G353" s="4">
        <f t="shared" si="178"/>
        <v>7837.1505699999998</v>
      </c>
      <c r="H353" s="4">
        <f t="shared" si="168"/>
        <v>99.127519658796416</v>
      </c>
    </row>
    <row r="354" spans="1:8" ht="31.5" x14ac:dyDescent="0.25">
      <c r="A354" s="318" t="s">
        <v>914</v>
      </c>
      <c r="B354" s="319" t="s">
        <v>249</v>
      </c>
      <c r="C354" s="319" t="s">
        <v>133</v>
      </c>
      <c r="D354" s="319" t="s">
        <v>909</v>
      </c>
      <c r="E354" s="319"/>
      <c r="F354" s="4">
        <f>F355+F360+F363+F366</f>
        <v>7906.1299999999992</v>
      </c>
      <c r="G354" s="4">
        <f t="shared" ref="G354" si="179">G355+G360+G363+G366</f>
        <v>7837.1505699999998</v>
      </c>
      <c r="H354" s="4">
        <f t="shared" si="168"/>
        <v>99.127519658796416</v>
      </c>
    </row>
    <row r="355" spans="1:8" ht="15.75" x14ac:dyDescent="0.25">
      <c r="A355" s="349" t="s">
        <v>530</v>
      </c>
      <c r="B355" s="347" t="s">
        <v>795</v>
      </c>
      <c r="C355" s="347" t="s">
        <v>133</v>
      </c>
      <c r="D355" s="347" t="s">
        <v>1094</v>
      </c>
      <c r="E355" s="319"/>
      <c r="F355" s="337">
        <f t="shared" ref="F355" si="180">F356+F358</f>
        <v>1633.9</v>
      </c>
      <c r="G355" s="337">
        <f t="shared" ref="G355" si="181">G356+G358</f>
        <v>1589.655</v>
      </c>
      <c r="H355" s="337">
        <f t="shared" si="168"/>
        <v>97.292061937695067</v>
      </c>
    </row>
    <row r="356" spans="1:8" ht="31.5" x14ac:dyDescent="0.25">
      <c r="A356" s="349" t="s">
        <v>146</v>
      </c>
      <c r="B356" s="347" t="s">
        <v>249</v>
      </c>
      <c r="C356" s="347" t="s">
        <v>133</v>
      </c>
      <c r="D356" s="347" t="s">
        <v>1094</v>
      </c>
      <c r="E356" s="347" t="s">
        <v>147</v>
      </c>
      <c r="F356" s="337">
        <f t="shared" ref="F356:G356" si="182">F357</f>
        <v>633.90000000000009</v>
      </c>
      <c r="G356" s="337">
        <f t="shared" si="182"/>
        <v>589.65499999999997</v>
      </c>
      <c r="H356" s="337">
        <f t="shared" si="168"/>
        <v>93.020192459378436</v>
      </c>
    </row>
    <row r="357" spans="1:8" ht="47.25" x14ac:dyDescent="0.25">
      <c r="A357" s="349" t="s">
        <v>148</v>
      </c>
      <c r="B357" s="347" t="s">
        <v>249</v>
      </c>
      <c r="C357" s="347" t="s">
        <v>133</v>
      </c>
      <c r="D357" s="347" t="s">
        <v>1094</v>
      </c>
      <c r="E357" s="347" t="s">
        <v>149</v>
      </c>
      <c r="F357" s="337">
        <f>'Пр.4 ведом.20'!G1014</f>
        <v>633.90000000000009</v>
      </c>
      <c r="G357" s="337">
        <f>'Пр.4 ведом.20'!H1014</f>
        <v>589.65499999999997</v>
      </c>
      <c r="H357" s="337">
        <f t="shared" si="168"/>
        <v>93.020192459378436</v>
      </c>
    </row>
    <row r="358" spans="1:8" ht="15.75" x14ac:dyDescent="0.25">
      <c r="A358" s="349" t="s">
        <v>150</v>
      </c>
      <c r="B358" s="347" t="s">
        <v>249</v>
      </c>
      <c r="C358" s="347" t="s">
        <v>133</v>
      </c>
      <c r="D358" s="347" t="s">
        <v>1094</v>
      </c>
      <c r="E358" s="347" t="s">
        <v>160</v>
      </c>
      <c r="F358" s="337">
        <f t="shared" ref="F358:G358" si="183">F359</f>
        <v>1000</v>
      </c>
      <c r="G358" s="337">
        <f t="shared" si="183"/>
        <v>1000</v>
      </c>
      <c r="H358" s="337">
        <f t="shared" si="168"/>
        <v>100</v>
      </c>
    </row>
    <row r="359" spans="1:8" ht="47.25" x14ac:dyDescent="0.25">
      <c r="A359" s="349" t="s">
        <v>199</v>
      </c>
      <c r="B359" s="347" t="s">
        <v>249</v>
      </c>
      <c r="C359" s="347" t="s">
        <v>133</v>
      </c>
      <c r="D359" s="347" t="s">
        <v>1094</v>
      </c>
      <c r="E359" s="347" t="s">
        <v>175</v>
      </c>
      <c r="F359" s="337">
        <f>'Пр.4 ведом.20'!G1016</f>
        <v>1000</v>
      </c>
      <c r="G359" s="337">
        <f>'Пр.4 ведом.20'!H1016</f>
        <v>1000</v>
      </c>
      <c r="H359" s="337">
        <f t="shared" si="168"/>
        <v>100</v>
      </c>
    </row>
    <row r="360" spans="1:8" ht="31.5" x14ac:dyDescent="0.25">
      <c r="A360" s="323" t="s">
        <v>413</v>
      </c>
      <c r="B360" s="347" t="s">
        <v>249</v>
      </c>
      <c r="C360" s="347" t="s">
        <v>133</v>
      </c>
      <c r="D360" s="347" t="s">
        <v>1095</v>
      </c>
      <c r="E360" s="319"/>
      <c r="F360" s="337">
        <f t="shared" ref="F360:G361" si="184">F361</f>
        <v>4647.42</v>
      </c>
      <c r="G360" s="337">
        <f t="shared" si="184"/>
        <v>4623.6919200000002</v>
      </c>
      <c r="H360" s="337">
        <f t="shared" si="168"/>
        <v>99.489435428689461</v>
      </c>
    </row>
    <row r="361" spans="1:8" ht="31.5" x14ac:dyDescent="0.25">
      <c r="A361" s="349" t="s">
        <v>146</v>
      </c>
      <c r="B361" s="347" t="s">
        <v>249</v>
      </c>
      <c r="C361" s="347" t="s">
        <v>133</v>
      </c>
      <c r="D361" s="347" t="s">
        <v>1095</v>
      </c>
      <c r="E361" s="347" t="s">
        <v>147</v>
      </c>
      <c r="F361" s="337">
        <f t="shared" si="184"/>
        <v>4647.42</v>
      </c>
      <c r="G361" s="337">
        <f t="shared" si="184"/>
        <v>4623.6919200000002</v>
      </c>
      <c r="H361" s="337">
        <f t="shared" si="168"/>
        <v>99.489435428689461</v>
      </c>
    </row>
    <row r="362" spans="1:8" ht="47.25" x14ac:dyDescent="0.25">
      <c r="A362" s="349" t="s">
        <v>148</v>
      </c>
      <c r="B362" s="347" t="s">
        <v>249</v>
      </c>
      <c r="C362" s="347" t="s">
        <v>133</v>
      </c>
      <c r="D362" s="347" t="s">
        <v>1095</v>
      </c>
      <c r="E362" s="347" t="s">
        <v>149</v>
      </c>
      <c r="F362" s="337">
        <f>'Пр.4 ведом.20'!G564+'Пр.4 ведом.20'!G1019</f>
        <v>4647.42</v>
      </c>
      <c r="G362" s="337">
        <f>'Пр.4 ведом.20'!H564+'Пр.4 ведом.20'!H1019</f>
        <v>4623.6919200000002</v>
      </c>
      <c r="H362" s="337">
        <f t="shared" si="168"/>
        <v>99.489435428689461</v>
      </c>
    </row>
    <row r="363" spans="1:8" ht="31.5" x14ac:dyDescent="0.25">
      <c r="A363" s="323" t="s">
        <v>1003</v>
      </c>
      <c r="B363" s="347" t="s">
        <v>249</v>
      </c>
      <c r="C363" s="347" t="s">
        <v>133</v>
      </c>
      <c r="D363" s="347" t="s">
        <v>1096</v>
      </c>
      <c r="E363" s="319"/>
      <c r="F363" s="337">
        <f>F364</f>
        <v>1624.81</v>
      </c>
      <c r="G363" s="337">
        <f t="shared" ref="G363:G364" si="185">G364</f>
        <v>1623.8036500000001</v>
      </c>
      <c r="H363" s="337">
        <f t="shared" si="168"/>
        <v>99.938063527427829</v>
      </c>
    </row>
    <row r="364" spans="1:8" ht="31.5" x14ac:dyDescent="0.25">
      <c r="A364" s="349" t="s">
        <v>146</v>
      </c>
      <c r="B364" s="347" t="s">
        <v>249</v>
      </c>
      <c r="C364" s="347" t="s">
        <v>133</v>
      </c>
      <c r="D364" s="347" t="s">
        <v>1096</v>
      </c>
      <c r="E364" s="347" t="s">
        <v>147</v>
      </c>
      <c r="F364" s="337">
        <f>F365</f>
        <v>1624.81</v>
      </c>
      <c r="G364" s="337">
        <f t="shared" si="185"/>
        <v>1623.8036500000001</v>
      </c>
      <c r="H364" s="337">
        <f t="shared" si="168"/>
        <v>99.938063527427829</v>
      </c>
    </row>
    <row r="365" spans="1:8" ht="47.25" x14ac:dyDescent="0.25">
      <c r="A365" s="349" t="s">
        <v>148</v>
      </c>
      <c r="B365" s="347" t="s">
        <v>249</v>
      </c>
      <c r="C365" s="347" t="s">
        <v>133</v>
      </c>
      <c r="D365" s="347" t="s">
        <v>1096</v>
      </c>
      <c r="E365" s="347" t="s">
        <v>149</v>
      </c>
      <c r="F365" s="337">
        <f>'Пр.4 ведом.20'!G1022+'Пр.4 ведом.20'!G567</f>
        <v>1624.81</v>
      </c>
      <c r="G365" s="337">
        <f>'Пр.4 ведом.20'!H1022+'Пр.4 ведом.20'!H567</f>
        <v>1623.8036500000001</v>
      </c>
      <c r="H365" s="337">
        <f t="shared" si="168"/>
        <v>99.938063527427829</v>
      </c>
    </row>
    <row r="366" spans="1:8" s="309" customFormat="1" ht="47.25" hidden="1" x14ac:dyDescent="0.25">
      <c r="A366" s="349" t="s">
        <v>1513</v>
      </c>
      <c r="B366" s="347" t="s">
        <v>249</v>
      </c>
      <c r="C366" s="347" t="s">
        <v>133</v>
      </c>
      <c r="D366" s="347" t="s">
        <v>1514</v>
      </c>
      <c r="E366" s="347"/>
      <c r="F366" s="337">
        <f>F367</f>
        <v>0</v>
      </c>
      <c r="G366" s="337">
        <f t="shared" ref="G366:G367" si="186">G367</f>
        <v>0</v>
      </c>
      <c r="H366" s="337" t="e">
        <f t="shared" si="168"/>
        <v>#DIV/0!</v>
      </c>
    </row>
    <row r="367" spans="1:8" s="309" customFormat="1" ht="15.75" hidden="1" x14ac:dyDescent="0.25">
      <c r="A367" s="349" t="s">
        <v>150</v>
      </c>
      <c r="B367" s="347" t="s">
        <v>249</v>
      </c>
      <c r="C367" s="347" t="s">
        <v>133</v>
      </c>
      <c r="D367" s="347" t="s">
        <v>1514</v>
      </c>
      <c r="E367" s="347" t="s">
        <v>160</v>
      </c>
      <c r="F367" s="337">
        <f>F368</f>
        <v>0</v>
      </c>
      <c r="G367" s="337">
        <f t="shared" si="186"/>
        <v>0</v>
      </c>
      <c r="H367" s="337" t="e">
        <f t="shared" si="168"/>
        <v>#DIV/0!</v>
      </c>
    </row>
    <row r="368" spans="1:8" s="309" customFormat="1" ht="47.25" hidden="1" x14ac:dyDescent="0.25">
      <c r="A368" s="349" t="s">
        <v>199</v>
      </c>
      <c r="B368" s="347" t="s">
        <v>249</v>
      </c>
      <c r="C368" s="347" t="s">
        <v>133</v>
      </c>
      <c r="D368" s="347" t="s">
        <v>1514</v>
      </c>
      <c r="E368" s="347" t="s">
        <v>175</v>
      </c>
      <c r="F368" s="337">
        <f>'Пр.4 ведом.20'!G1025</f>
        <v>0</v>
      </c>
      <c r="G368" s="337">
        <f>'Пр.4 ведом.20'!H1025</f>
        <v>0</v>
      </c>
      <c r="H368" s="337" t="e">
        <f t="shared" si="168"/>
        <v>#DIV/0!</v>
      </c>
    </row>
    <row r="369" spans="1:8" ht="15.75" x14ac:dyDescent="0.25">
      <c r="A369" s="318" t="s">
        <v>532</v>
      </c>
      <c r="B369" s="319" t="s">
        <v>249</v>
      </c>
      <c r="C369" s="319" t="s">
        <v>228</v>
      </c>
      <c r="D369" s="319"/>
      <c r="E369" s="319"/>
      <c r="F369" s="4">
        <f>F405+F370+F434</f>
        <v>50591.5</v>
      </c>
      <c r="G369" s="4">
        <f t="shared" ref="G369" si="187">G405+G370+G434</f>
        <v>47200.3848</v>
      </c>
      <c r="H369" s="4">
        <f t="shared" si="168"/>
        <v>93.297065317296386</v>
      </c>
    </row>
    <row r="370" spans="1:8" ht="15.75" x14ac:dyDescent="0.25">
      <c r="A370" s="318" t="s">
        <v>156</v>
      </c>
      <c r="B370" s="319" t="s">
        <v>249</v>
      </c>
      <c r="C370" s="319" t="s">
        <v>228</v>
      </c>
      <c r="D370" s="319" t="s">
        <v>910</v>
      </c>
      <c r="E370" s="319"/>
      <c r="F370" s="4">
        <f>F371+F388</f>
        <v>50392.5</v>
      </c>
      <c r="G370" s="4">
        <f t="shared" ref="G370" si="188">G371+G388</f>
        <v>47001.3848</v>
      </c>
      <c r="H370" s="4">
        <f t="shared" si="168"/>
        <v>93.270595425906635</v>
      </c>
    </row>
    <row r="371" spans="1:8" ht="33" customHeight="1" x14ac:dyDescent="0.25">
      <c r="A371" s="318" t="s">
        <v>914</v>
      </c>
      <c r="B371" s="319" t="s">
        <v>249</v>
      </c>
      <c r="C371" s="319" t="s">
        <v>228</v>
      </c>
      <c r="D371" s="319" t="s">
        <v>909</v>
      </c>
      <c r="E371" s="319"/>
      <c r="F371" s="4">
        <f>F372+F380+F385</f>
        <v>28192.5</v>
      </c>
      <c r="G371" s="4">
        <f t="shared" ref="G371" si="189">G372+G380+G385</f>
        <v>28104.037</v>
      </c>
      <c r="H371" s="4">
        <f t="shared" si="168"/>
        <v>99.686217965771036</v>
      </c>
    </row>
    <row r="372" spans="1:8" ht="17.45" customHeight="1" x14ac:dyDescent="0.25">
      <c r="A372" s="35" t="s">
        <v>552</v>
      </c>
      <c r="B372" s="347" t="s">
        <v>249</v>
      </c>
      <c r="C372" s="347" t="s">
        <v>228</v>
      </c>
      <c r="D372" s="347" t="s">
        <v>1113</v>
      </c>
      <c r="E372" s="347"/>
      <c r="F372" s="337">
        <f>F373+F377+F375</f>
        <v>1874.3999999999999</v>
      </c>
      <c r="G372" s="337">
        <f t="shared" ref="G372" si="190">G373+G377+G375</f>
        <v>1870.1525000000001</v>
      </c>
      <c r="H372" s="337">
        <f t="shared" si="168"/>
        <v>99.773394152795575</v>
      </c>
    </row>
    <row r="373" spans="1:8" ht="35.450000000000003" customHeight="1" x14ac:dyDescent="0.25">
      <c r="A373" s="349" t="s">
        <v>146</v>
      </c>
      <c r="B373" s="347" t="s">
        <v>249</v>
      </c>
      <c r="C373" s="347" t="s">
        <v>228</v>
      </c>
      <c r="D373" s="347" t="s">
        <v>1113</v>
      </c>
      <c r="E373" s="347" t="s">
        <v>147</v>
      </c>
      <c r="F373" s="337">
        <f>F374</f>
        <v>595</v>
      </c>
      <c r="G373" s="337">
        <f t="shared" ref="G373" si="191">G374</f>
        <v>590.91899999999998</v>
      </c>
      <c r="H373" s="337">
        <f t="shared" si="168"/>
        <v>99.314117647058822</v>
      </c>
    </row>
    <row r="374" spans="1:8" ht="47.25" x14ac:dyDescent="0.25">
      <c r="A374" s="349" t="s">
        <v>148</v>
      </c>
      <c r="B374" s="347" t="s">
        <v>249</v>
      </c>
      <c r="C374" s="347" t="s">
        <v>228</v>
      </c>
      <c r="D374" s="347" t="s">
        <v>1113</v>
      </c>
      <c r="E374" s="347" t="s">
        <v>149</v>
      </c>
      <c r="F374" s="337">
        <f>'Пр.4 ведом.20'!G1031</f>
        <v>595</v>
      </c>
      <c r="G374" s="337">
        <f>'Пр.4 ведом.20'!H1031</f>
        <v>590.91899999999998</v>
      </c>
      <c r="H374" s="337">
        <f t="shared" si="168"/>
        <v>99.314117647058822</v>
      </c>
    </row>
    <row r="375" spans="1:8" s="210" customFormat="1" ht="31.5" x14ac:dyDescent="0.25">
      <c r="A375" s="349" t="s">
        <v>882</v>
      </c>
      <c r="B375" s="347" t="s">
        <v>249</v>
      </c>
      <c r="C375" s="347" t="s">
        <v>228</v>
      </c>
      <c r="D375" s="347" t="s">
        <v>1113</v>
      </c>
      <c r="E375" s="347" t="s">
        <v>881</v>
      </c>
      <c r="F375" s="337">
        <f>F376</f>
        <v>1271.5999999999999</v>
      </c>
      <c r="G375" s="337">
        <f t="shared" ref="G375" si="192">G376</f>
        <v>1271.5195000000001</v>
      </c>
      <c r="H375" s="337">
        <f t="shared" si="168"/>
        <v>99.993669392890865</v>
      </c>
    </row>
    <row r="376" spans="1:8" s="210" customFormat="1" ht="63" x14ac:dyDescent="0.25">
      <c r="A376" s="349" t="s">
        <v>1222</v>
      </c>
      <c r="B376" s="347" t="s">
        <v>249</v>
      </c>
      <c r="C376" s="347" t="s">
        <v>228</v>
      </c>
      <c r="D376" s="347" t="s">
        <v>1113</v>
      </c>
      <c r="E376" s="347" t="s">
        <v>1244</v>
      </c>
      <c r="F376" s="337">
        <f>'Пр.4 ведом.20'!G1033</f>
        <v>1271.5999999999999</v>
      </c>
      <c r="G376" s="337">
        <f>'Пр.4 ведом.20'!H1033</f>
        <v>1271.5195000000001</v>
      </c>
      <c r="H376" s="337">
        <f t="shared" si="168"/>
        <v>99.993669392890865</v>
      </c>
    </row>
    <row r="377" spans="1:8" ht="15.75" x14ac:dyDescent="0.25">
      <c r="A377" s="349" t="s">
        <v>150</v>
      </c>
      <c r="B377" s="347" t="s">
        <v>249</v>
      </c>
      <c r="C377" s="347" t="s">
        <v>228</v>
      </c>
      <c r="D377" s="347" t="s">
        <v>1113</v>
      </c>
      <c r="E377" s="347" t="s">
        <v>160</v>
      </c>
      <c r="F377" s="337">
        <f>F378+F379</f>
        <v>7.8</v>
      </c>
      <c r="G377" s="337">
        <f t="shared" ref="G377" si="193">G378+G379</f>
        <v>7.7140000000000004</v>
      </c>
      <c r="H377" s="337">
        <f t="shared" si="168"/>
        <v>98.897435897435898</v>
      </c>
    </row>
    <row r="378" spans="1:8" ht="47.25" hidden="1" x14ac:dyDescent="0.25">
      <c r="A378" s="349" t="s">
        <v>199</v>
      </c>
      <c r="B378" s="347" t="s">
        <v>249</v>
      </c>
      <c r="C378" s="347" t="s">
        <v>228</v>
      </c>
      <c r="D378" s="347" t="s">
        <v>1113</v>
      </c>
      <c r="E378" s="347" t="s">
        <v>175</v>
      </c>
      <c r="F378" s="337">
        <f>'Пр.4 ведом.20'!G1035</f>
        <v>0</v>
      </c>
      <c r="G378" s="337">
        <f>'Пр.4 ведом.20'!H1035</f>
        <v>0</v>
      </c>
      <c r="H378" s="337" t="e">
        <f t="shared" si="168"/>
        <v>#DIV/0!</v>
      </c>
    </row>
    <row r="379" spans="1:8" s="210" customFormat="1" ht="15.75" x14ac:dyDescent="0.25">
      <c r="A379" s="349" t="s">
        <v>1473</v>
      </c>
      <c r="B379" s="347" t="s">
        <v>249</v>
      </c>
      <c r="C379" s="347" t="s">
        <v>228</v>
      </c>
      <c r="D379" s="347" t="s">
        <v>1113</v>
      </c>
      <c r="E379" s="347" t="s">
        <v>162</v>
      </c>
      <c r="F379" s="337">
        <f>'Пр.4 ведом.20'!G1036</f>
        <v>7.8</v>
      </c>
      <c r="G379" s="337">
        <f>'Пр.4 ведом.20'!H1036</f>
        <v>7.7140000000000004</v>
      </c>
      <c r="H379" s="337">
        <f t="shared" si="168"/>
        <v>98.897435897435898</v>
      </c>
    </row>
    <row r="380" spans="1:8" ht="31.5" x14ac:dyDescent="0.25">
      <c r="A380" s="323" t="s">
        <v>1003</v>
      </c>
      <c r="B380" s="347" t="s">
        <v>249</v>
      </c>
      <c r="C380" s="347" t="s">
        <v>228</v>
      </c>
      <c r="D380" s="347" t="s">
        <v>1096</v>
      </c>
      <c r="E380" s="347"/>
      <c r="F380" s="337">
        <f>F381+F383</f>
        <v>12320.4</v>
      </c>
      <c r="G380" s="337">
        <f t="shared" ref="G380" si="194">G381+G383</f>
        <v>12236.244500000001</v>
      </c>
      <c r="H380" s="337">
        <f t="shared" si="168"/>
        <v>99.316941820070781</v>
      </c>
    </row>
    <row r="381" spans="1:8" ht="31.5" x14ac:dyDescent="0.25">
      <c r="A381" s="349" t="s">
        <v>146</v>
      </c>
      <c r="B381" s="347" t="s">
        <v>249</v>
      </c>
      <c r="C381" s="347" t="s">
        <v>228</v>
      </c>
      <c r="D381" s="347" t="s">
        <v>1096</v>
      </c>
      <c r="E381" s="347" t="s">
        <v>147</v>
      </c>
      <c r="F381" s="337">
        <f t="shared" ref="F381:G381" si="195">F382</f>
        <v>12320.4</v>
      </c>
      <c r="G381" s="337">
        <f t="shared" si="195"/>
        <v>12236.244500000001</v>
      </c>
      <c r="H381" s="337">
        <f t="shared" si="168"/>
        <v>99.316941820070781</v>
      </c>
    </row>
    <row r="382" spans="1:8" ht="47.25" x14ac:dyDescent="0.25">
      <c r="A382" s="349" t="s">
        <v>148</v>
      </c>
      <c r="B382" s="347" t="s">
        <v>249</v>
      </c>
      <c r="C382" s="347" t="s">
        <v>228</v>
      </c>
      <c r="D382" s="347" t="s">
        <v>1096</v>
      </c>
      <c r="E382" s="347" t="s">
        <v>149</v>
      </c>
      <c r="F382" s="337">
        <f>'Пр.4 ведом.20'!G1039</f>
        <v>12320.4</v>
      </c>
      <c r="G382" s="337">
        <f>'Пр.4 ведом.20'!H1039</f>
        <v>12236.244500000001</v>
      </c>
      <c r="H382" s="337">
        <f t="shared" si="168"/>
        <v>99.316941820070781</v>
      </c>
    </row>
    <row r="383" spans="1:8" ht="15.75" hidden="1" x14ac:dyDescent="0.25">
      <c r="A383" s="349" t="s">
        <v>150</v>
      </c>
      <c r="B383" s="347" t="s">
        <v>249</v>
      </c>
      <c r="C383" s="347" t="s">
        <v>228</v>
      </c>
      <c r="D383" s="347" t="s">
        <v>1096</v>
      </c>
      <c r="E383" s="347" t="s">
        <v>160</v>
      </c>
      <c r="F383" s="337">
        <f>F384</f>
        <v>0</v>
      </c>
      <c r="G383" s="337">
        <f t="shared" ref="G383" si="196">G384</f>
        <v>0</v>
      </c>
      <c r="H383" s="337" t="e">
        <f t="shared" si="168"/>
        <v>#DIV/0!</v>
      </c>
    </row>
    <row r="384" spans="1:8" ht="15.75" hidden="1" x14ac:dyDescent="0.25">
      <c r="A384" s="349" t="s">
        <v>161</v>
      </c>
      <c r="B384" s="347" t="s">
        <v>249</v>
      </c>
      <c r="C384" s="347" t="s">
        <v>228</v>
      </c>
      <c r="D384" s="347" t="s">
        <v>1096</v>
      </c>
      <c r="E384" s="347" t="s">
        <v>162</v>
      </c>
      <c r="F384" s="337">
        <f>'Пр.4 ведом.20'!G1041</f>
        <v>0</v>
      </c>
      <c r="G384" s="337">
        <f>'Пр.4 ведом.20'!H1041</f>
        <v>0</v>
      </c>
      <c r="H384" s="337" t="e">
        <f t="shared" si="168"/>
        <v>#DIV/0!</v>
      </c>
    </row>
    <row r="385" spans="1:8" s="345" customFormat="1" ht="78.75" x14ac:dyDescent="0.25">
      <c r="A385" s="349" t="s">
        <v>1571</v>
      </c>
      <c r="B385" s="347" t="s">
        <v>249</v>
      </c>
      <c r="C385" s="347" t="s">
        <v>228</v>
      </c>
      <c r="D385" s="347" t="s">
        <v>1570</v>
      </c>
      <c r="E385" s="347"/>
      <c r="F385" s="337">
        <f>F386</f>
        <v>13997.7</v>
      </c>
      <c r="G385" s="337">
        <f t="shared" ref="G385:G386" si="197">G386</f>
        <v>13997.64</v>
      </c>
      <c r="H385" s="337">
        <f t="shared" si="168"/>
        <v>99.999571358151684</v>
      </c>
    </row>
    <row r="386" spans="1:8" s="345" customFormat="1" ht="15.75" x14ac:dyDescent="0.25">
      <c r="A386" s="349" t="s">
        <v>150</v>
      </c>
      <c r="B386" s="347" t="s">
        <v>249</v>
      </c>
      <c r="C386" s="347" t="s">
        <v>228</v>
      </c>
      <c r="D386" s="347" t="s">
        <v>1570</v>
      </c>
      <c r="E386" s="347" t="s">
        <v>160</v>
      </c>
      <c r="F386" s="337">
        <f>F387</f>
        <v>13997.7</v>
      </c>
      <c r="G386" s="337">
        <f t="shared" si="197"/>
        <v>13997.64</v>
      </c>
      <c r="H386" s="337">
        <f t="shared" si="168"/>
        <v>99.999571358151684</v>
      </c>
    </row>
    <row r="387" spans="1:8" s="345" customFormat="1" ht="47.25" x14ac:dyDescent="0.25">
      <c r="A387" s="349" t="s">
        <v>199</v>
      </c>
      <c r="B387" s="347" t="s">
        <v>249</v>
      </c>
      <c r="C387" s="347" t="s">
        <v>228</v>
      </c>
      <c r="D387" s="347" t="s">
        <v>1570</v>
      </c>
      <c r="E387" s="347" t="s">
        <v>175</v>
      </c>
      <c r="F387" s="337">
        <f>'Пр.4 ведом.20'!G1044</f>
        <v>13997.7</v>
      </c>
      <c r="G387" s="337">
        <f>'Пр.4 ведом.20'!H1044</f>
        <v>13997.64</v>
      </c>
      <c r="H387" s="337">
        <f t="shared" si="168"/>
        <v>99.999571358151684</v>
      </c>
    </row>
    <row r="388" spans="1:8" ht="47.25" x14ac:dyDescent="0.25">
      <c r="A388" s="318" t="s">
        <v>1169</v>
      </c>
      <c r="B388" s="319" t="s">
        <v>249</v>
      </c>
      <c r="C388" s="319" t="s">
        <v>228</v>
      </c>
      <c r="D388" s="319" t="s">
        <v>1114</v>
      </c>
      <c r="E388" s="319"/>
      <c r="F388" s="4">
        <f>F389+F394+F397+F402</f>
        <v>22200</v>
      </c>
      <c r="G388" s="4">
        <f t="shared" ref="G388" si="198">G389+G394+G397+G402</f>
        <v>18897.347800000003</v>
      </c>
      <c r="H388" s="4">
        <f t="shared" si="168"/>
        <v>85.123188288288304</v>
      </c>
    </row>
    <row r="389" spans="1:8" ht="47.25" x14ac:dyDescent="0.25">
      <c r="A389" s="349" t="s">
        <v>871</v>
      </c>
      <c r="B389" s="347" t="s">
        <v>249</v>
      </c>
      <c r="C389" s="347" t="s">
        <v>228</v>
      </c>
      <c r="D389" s="347" t="s">
        <v>1115</v>
      </c>
      <c r="E389" s="347"/>
      <c r="F389" s="337">
        <f>F390+F392</f>
        <v>22200</v>
      </c>
      <c r="G389" s="337">
        <f t="shared" ref="G389" si="199">G390+G392</f>
        <v>18897.347800000003</v>
      </c>
      <c r="H389" s="337">
        <f t="shared" si="168"/>
        <v>85.123188288288304</v>
      </c>
    </row>
    <row r="390" spans="1:8" ht="31.5" x14ac:dyDescent="0.25">
      <c r="A390" s="349" t="s">
        <v>146</v>
      </c>
      <c r="B390" s="347" t="s">
        <v>249</v>
      </c>
      <c r="C390" s="347" t="s">
        <v>228</v>
      </c>
      <c r="D390" s="347" t="s">
        <v>1115</v>
      </c>
      <c r="E390" s="347" t="s">
        <v>147</v>
      </c>
      <c r="F390" s="337">
        <f>F391</f>
        <v>22200.000199999999</v>
      </c>
      <c r="G390" s="337">
        <f t="shared" ref="G390" si="200">G391</f>
        <v>18897.348000000002</v>
      </c>
      <c r="H390" s="337">
        <f t="shared" si="168"/>
        <v>85.123188422313632</v>
      </c>
    </row>
    <row r="391" spans="1:8" ht="47.25" x14ac:dyDescent="0.25">
      <c r="A391" s="349" t="s">
        <v>148</v>
      </c>
      <c r="B391" s="347" t="s">
        <v>249</v>
      </c>
      <c r="C391" s="347" t="s">
        <v>228</v>
      </c>
      <c r="D391" s="347" t="s">
        <v>1115</v>
      </c>
      <c r="E391" s="347" t="s">
        <v>149</v>
      </c>
      <c r="F391" s="337">
        <f>'Пр.4 ведом.20'!G1048</f>
        <v>22200.000199999999</v>
      </c>
      <c r="G391" s="337">
        <f>'Пр.4 ведом.20'!H1048</f>
        <v>18897.348000000002</v>
      </c>
      <c r="H391" s="337">
        <f t="shared" si="168"/>
        <v>85.123188422313632</v>
      </c>
    </row>
    <row r="392" spans="1:8" ht="31.5" hidden="1" x14ac:dyDescent="0.25">
      <c r="A392" s="349" t="s">
        <v>882</v>
      </c>
      <c r="B392" s="347" t="s">
        <v>249</v>
      </c>
      <c r="C392" s="347" t="s">
        <v>228</v>
      </c>
      <c r="D392" s="347" t="s">
        <v>1115</v>
      </c>
      <c r="E392" s="347" t="s">
        <v>881</v>
      </c>
      <c r="F392" s="337">
        <f>F393</f>
        <v>-1.9999999881292752E-4</v>
      </c>
      <c r="G392" s="337">
        <f t="shared" ref="G392" si="201">G393</f>
        <v>-1.9999999881292752E-4</v>
      </c>
      <c r="H392" s="337">
        <f t="shared" si="168"/>
        <v>100</v>
      </c>
    </row>
    <row r="393" spans="1:8" ht="63" hidden="1" x14ac:dyDescent="0.25">
      <c r="A393" s="349" t="s">
        <v>1222</v>
      </c>
      <c r="B393" s="347" t="s">
        <v>249</v>
      </c>
      <c r="C393" s="347" t="s">
        <v>228</v>
      </c>
      <c r="D393" s="347" t="s">
        <v>1115</v>
      </c>
      <c r="E393" s="347" t="s">
        <v>1244</v>
      </c>
      <c r="F393" s="337">
        <f>'Пр.4 ведом.20'!G1050</f>
        <v>-1.9999999881292752E-4</v>
      </c>
      <c r="G393" s="337">
        <f>'Пр.4 ведом.20'!H1050</f>
        <v>-1.9999999881292752E-4</v>
      </c>
      <c r="H393" s="337">
        <f t="shared" ref="H393:H456" si="202">G393/F393*100</f>
        <v>100</v>
      </c>
    </row>
    <row r="394" spans="1:8" ht="49.7" hidden="1" customHeight="1" x14ac:dyDescent="0.25">
      <c r="A394" s="349" t="s">
        <v>822</v>
      </c>
      <c r="B394" s="347" t="s">
        <v>249</v>
      </c>
      <c r="C394" s="347" t="s">
        <v>228</v>
      </c>
      <c r="D394" s="347" t="s">
        <v>1116</v>
      </c>
      <c r="E394" s="347"/>
      <c r="F394" s="337">
        <f>F395</f>
        <v>0</v>
      </c>
      <c r="G394" s="337">
        <f t="shared" ref="G394:G395" si="203">G395</f>
        <v>0</v>
      </c>
      <c r="H394" s="337" t="e">
        <f t="shared" si="202"/>
        <v>#DIV/0!</v>
      </c>
    </row>
    <row r="395" spans="1:8" ht="31.5" hidden="1" x14ac:dyDescent="0.25">
      <c r="A395" s="349" t="s">
        <v>146</v>
      </c>
      <c r="B395" s="347" t="s">
        <v>249</v>
      </c>
      <c r="C395" s="347" t="s">
        <v>228</v>
      </c>
      <c r="D395" s="347" t="s">
        <v>1116</v>
      </c>
      <c r="E395" s="347" t="s">
        <v>147</v>
      </c>
      <c r="F395" s="337">
        <f>F396</f>
        <v>0</v>
      </c>
      <c r="G395" s="337">
        <f t="shared" si="203"/>
        <v>0</v>
      </c>
      <c r="H395" s="337" t="e">
        <f t="shared" si="202"/>
        <v>#DIV/0!</v>
      </c>
    </row>
    <row r="396" spans="1:8" ht="47.25" hidden="1" x14ac:dyDescent="0.25">
      <c r="A396" s="349" t="s">
        <v>148</v>
      </c>
      <c r="B396" s="347" t="s">
        <v>249</v>
      </c>
      <c r="C396" s="347" t="s">
        <v>228</v>
      </c>
      <c r="D396" s="347" t="s">
        <v>1116</v>
      </c>
      <c r="E396" s="347" t="s">
        <v>149</v>
      </c>
      <c r="F396" s="337">
        <f>'Пр.4 ведом.20'!G1053</f>
        <v>0</v>
      </c>
      <c r="G396" s="337">
        <f>'Пр.4 ведом.20'!H1053</f>
        <v>0</v>
      </c>
      <c r="H396" s="337" t="e">
        <f t="shared" si="202"/>
        <v>#DIV/0!</v>
      </c>
    </row>
    <row r="397" spans="1:8" ht="47.25" hidden="1" x14ac:dyDescent="0.25">
      <c r="A397" s="98" t="s">
        <v>877</v>
      </c>
      <c r="B397" s="347" t="s">
        <v>249</v>
      </c>
      <c r="C397" s="347" t="s">
        <v>228</v>
      </c>
      <c r="D397" s="347" t="s">
        <v>1117</v>
      </c>
      <c r="E397" s="347"/>
      <c r="F397" s="337">
        <f>F398+F400</f>
        <v>0</v>
      </c>
      <c r="G397" s="337">
        <f t="shared" ref="G397" si="204">G398+G400</f>
        <v>0</v>
      </c>
      <c r="H397" s="337" t="e">
        <f t="shared" si="202"/>
        <v>#DIV/0!</v>
      </c>
    </row>
    <row r="398" spans="1:8" ht="31.5" hidden="1" x14ac:dyDescent="0.25">
      <c r="A398" s="349" t="s">
        <v>882</v>
      </c>
      <c r="B398" s="347" t="s">
        <v>249</v>
      </c>
      <c r="C398" s="347" t="s">
        <v>228</v>
      </c>
      <c r="D398" s="347" t="s">
        <v>1117</v>
      </c>
      <c r="E398" s="347" t="s">
        <v>881</v>
      </c>
      <c r="F398" s="337">
        <f>F399</f>
        <v>0</v>
      </c>
      <c r="G398" s="337">
        <f t="shared" ref="G398" si="205">G399</f>
        <v>0</v>
      </c>
      <c r="H398" s="337" t="e">
        <f t="shared" si="202"/>
        <v>#DIV/0!</v>
      </c>
    </row>
    <row r="399" spans="1:8" ht="31.7" hidden="1" customHeight="1" x14ac:dyDescent="0.25">
      <c r="A399" s="349" t="s">
        <v>1222</v>
      </c>
      <c r="B399" s="347" t="s">
        <v>249</v>
      </c>
      <c r="C399" s="347" t="s">
        <v>228</v>
      </c>
      <c r="D399" s="347" t="s">
        <v>1117</v>
      </c>
      <c r="E399" s="347" t="s">
        <v>1244</v>
      </c>
      <c r="F399" s="337">
        <f>'Пр.4 ведом.20'!G1056</f>
        <v>0</v>
      </c>
      <c r="G399" s="337">
        <f>'Пр.4 ведом.20'!H1056</f>
        <v>0</v>
      </c>
      <c r="H399" s="337" t="e">
        <f t="shared" si="202"/>
        <v>#DIV/0!</v>
      </c>
    </row>
    <row r="400" spans="1:8" ht="21.2" hidden="1" customHeight="1" x14ac:dyDescent="0.25">
      <c r="A400" s="349" t="s">
        <v>150</v>
      </c>
      <c r="B400" s="347" t="s">
        <v>249</v>
      </c>
      <c r="C400" s="347" t="s">
        <v>228</v>
      </c>
      <c r="D400" s="347" t="s">
        <v>1117</v>
      </c>
      <c r="E400" s="347" t="s">
        <v>160</v>
      </c>
      <c r="F400" s="337">
        <f>F401</f>
        <v>0</v>
      </c>
      <c r="G400" s="337">
        <f t="shared" ref="G400" si="206">G401</f>
        <v>0</v>
      </c>
      <c r="H400" s="337" t="e">
        <f t="shared" si="202"/>
        <v>#DIV/0!</v>
      </c>
    </row>
    <row r="401" spans="1:8" ht="21.75" hidden="1" customHeight="1" x14ac:dyDescent="0.25">
      <c r="A401" s="349" t="s">
        <v>725</v>
      </c>
      <c r="B401" s="347" t="s">
        <v>249</v>
      </c>
      <c r="C401" s="347" t="s">
        <v>228</v>
      </c>
      <c r="D401" s="347" t="s">
        <v>1117</v>
      </c>
      <c r="E401" s="347" t="s">
        <v>153</v>
      </c>
      <c r="F401" s="337">
        <f>'Пр.4 ведом.20'!G1058</f>
        <v>0</v>
      </c>
      <c r="G401" s="337">
        <f>'Пр.4 ведом.20'!H1058</f>
        <v>0</v>
      </c>
      <c r="H401" s="337" t="e">
        <f t="shared" si="202"/>
        <v>#DIV/0!</v>
      </c>
    </row>
    <row r="402" spans="1:8" ht="31.5" hidden="1" x14ac:dyDescent="0.25">
      <c r="A402" s="349" t="s">
        <v>1245</v>
      </c>
      <c r="B402" s="347" t="s">
        <v>249</v>
      </c>
      <c r="C402" s="347" t="s">
        <v>228</v>
      </c>
      <c r="D402" s="347" t="s">
        <v>1246</v>
      </c>
      <c r="E402" s="347"/>
      <c r="F402" s="337">
        <f t="shared" ref="F402:G403" si="207">F403</f>
        <v>0</v>
      </c>
      <c r="G402" s="337">
        <f t="shared" si="207"/>
        <v>0</v>
      </c>
      <c r="H402" s="337" t="e">
        <f t="shared" si="202"/>
        <v>#DIV/0!</v>
      </c>
    </row>
    <row r="403" spans="1:8" ht="31.5" hidden="1" x14ac:dyDescent="0.25">
      <c r="A403" s="349" t="s">
        <v>146</v>
      </c>
      <c r="B403" s="347" t="s">
        <v>249</v>
      </c>
      <c r="C403" s="347" t="s">
        <v>228</v>
      </c>
      <c r="D403" s="347" t="s">
        <v>1246</v>
      </c>
      <c r="E403" s="347" t="s">
        <v>147</v>
      </c>
      <c r="F403" s="337">
        <f t="shared" si="207"/>
        <v>0</v>
      </c>
      <c r="G403" s="337">
        <f t="shared" si="207"/>
        <v>0</v>
      </c>
      <c r="H403" s="337" t="e">
        <f t="shared" si="202"/>
        <v>#DIV/0!</v>
      </c>
    </row>
    <row r="404" spans="1:8" ht="47.25" hidden="1" x14ac:dyDescent="0.25">
      <c r="A404" s="349" t="s">
        <v>148</v>
      </c>
      <c r="B404" s="347" t="s">
        <v>249</v>
      </c>
      <c r="C404" s="347" t="s">
        <v>228</v>
      </c>
      <c r="D404" s="347" t="s">
        <v>1246</v>
      </c>
      <c r="E404" s="347" t="s">
        <v>149</v>
      </c>
      <c r="F404" s="337">
        <f>'Пр.4 ведом.20'!G1061</f>
        <v>0</v>
      </c>
      <c r="G404" s="337">
        <f>'Пр.4 ведом.20'!H1061</f>
        <v>0</v>
      </c>
      <c r="H404" s="337" t="e">
        <f t="shared" si="202"/>
        <v>#DIV/0!</v>
      </c>
    </row>
    <row r="405" spans="1:8" ht="63" x14ac:dyDescent="0.25">
      <c r="A405" s="318" t="s">
        <v>1176</v>
      </c>
      <c r="B405" s="319" t="s">
        <v>249</v>
      </c>
      <c r="C405" s="319" t="s">
        <v>228</v>
      </c>
      <c r="D405" s="319" t="s">
        <v>533</v>
      </c>
      <c r="E405" s="319"/>
      <c r="F405" s="4">
        <f>F406+F410+F414+F418+F422+F426+F430</f>
        <v>199</v>
      </c>
      <c r="G405" s="4">
        <f t="shared" ref="G405" si="208">G406+G410+G414+G418+G422+G426+G430</f>
        <v>199</v>
      </c>
      <c r="H405" s="4">
        <f t="shared" si="202"/>
        <v>100</v>
      </c>
    </row>
    <row r="406" spans="1:8" ht="31.5" hidden="1" x14ac:dyDescent="0.25">
      <c r="A406" s="318" t="s">
        <v>1097</v>
      </c>
      <c r="B406" s="319" t="s">
        <v>249</v>
      </c>
      <c r="C406" s="319" t="s">
        <v>228</v>
      </c>
      <c r="D406" s="319" t="s">
        <v>1099</v>
      </c>
      <c r="E406" s="319"/>
      <c r="F406" s="4">
        <f>F407</f>
        <v>0</v>
      </c>
      <c r="G406" s="4">
        <f t="shared" ref="G406" si="209">G407</f>
        <v>0</v>
      </c>
      <c r="H406" s="4" t="e">
        <f t="shared" si="202"/>
        <v>#DIV/0!</v>
      </c>
    </row>
    <row r="407" spans="1:8" ht="15.75" hidden="1" x14ac:dyDescent="0.25">
      <c r="A407" s="45" t="s">
        <v>1098</v>
      </c>
      <c r="B407" s="324" t="s">
        <v>249</v>
      </c>
      <c r="C407" s="324" t="s">
        <v>228</v>
      </c>
      <c r="D407" s="347" t="s">
        <v>1100</v>
      </c>
      <c r="E407" s="324"/>
      <c r="F407" s="337">
        <f t="shared" ref="F407:G408" si="210">F408</f>
        <v>0</v>
      </c>
      <c r="G407" s="337">
        <f t="shared" si="210"/>
        <v>0</v>
      </c>
      <c r="H407" s="4" t="e">
        <f t="shared" si="202"/>
        <v>#DIV/0!</v>
      </c>
    </row>
    <row r="408" spans="1:8" ht="31.5" hidden="1" x14ac:dyDescent="0.25">
      <c r="A408" s="31" t="s">
        <v>146</v>
      </c>
      <c r="B408" s="324" t="s">
        <v>249</v>
      </c>
      <c r="C408" s="324" t="s">
        <v>228</v>
      </c>
      <c r="D408" s="347" t="s">
        <v>1100</v>
      </c>
      <c r="E408" s="324" t="s">
        <v>147</v>
      </c>
      <c r="F408" s="337">
        <f t="shared" si="210"/>
        <v>0</v>
      </c>
      <c r="G408" s="337">
        <f t="shared" si="210"/>
        <v>0</v>
      </c>
      <c r="H408" s="4" t="e">
        <f t="shared" si="202"/>
        <v>#DIV/0!</v>
      </c>
    </row>
    <row r="409" spans="1:8" ht="47.25" hidden="1" x14ac:dyDescent="0.25">
      <c r="A409" s="31" t="s">
        <v>148</v>
      </c>
      <c r="B409" s="324" t="s">
        <v>249</v>
      </c>
      <c r="C409" s="324" t="s">
        <v>228</v>
      </c>
      <c r="D409" s="347" t="s">
        <v>1100</v>
      </c>
      <c r="E409" s="324" t="s">
        <v>149</v>
      </c>
      <c r="F409" s="337">
        <f>'Пр.4 ведом.20'!G1066</f>
        <v>0</v>
      </c>
      <c r="G409" s="337">
        <f>'Пр.4 ведом.20'!H1066</f>
        <v>0</v>
      </c>
      <c r="H409" s="4" t="e">
        <f t="shared" si="202"/>
        <v>#DIV/0!</v>
      </c>
    </row>
    <row r="410" spans="1:8" ht="31.5" x14ac:dyDescent="0.25">
      <c r="A410" s="34" t="s">
        <v>1101</v>
      </c>
      <c r="B410" s="312" t="s">
        <v>249</v>
      </c>
      <c r="C410" s="312" t="s">
        <v>228</v>
      </c>
      <c r="D410" s="319" t="s">
        <v>1102</v>
      </c>
      <c r="E410" s="312"/>
      <c r="F410" s="4">
        <f>F411</f>
        <v>155</v>
      </c>
      <c r="G410" s="4">
        <f t="shared" ref="G410:G412" si="211">G411</f>
        <v>155</v>
      </c>
      <c r="H410" s="4">
        <f t="shared" si="202"/>
        <v>100</v>
      </c>
    </row>
    <row r="411" spans="1:8" ht="15.75" x14ac:dyDescent="0.25">
      <c r="A411" s="45" t="s">
        <v>538</v>
      </c>
      <c r="B411" s="324" t="s">
        <v>249</v>
      </c>
      <c r="C411" s="324" t="s">
        <v>228</v>
      </c>
      <c r="D411" s="347" t="s">
        <v>1105</v>
      </c>
      <c r="E411" s="324"/>
      <c r="F411" s="337">
        <f>F412</f>
        <v>155</v>
      </c>
      <c r="G411" s="337">
        <f t="shared" si="211"/>
        <v>155</v>
      </c>
      <c r="H411" s="337">
        <f t="shared" si="202"/>
        <v>100</v>
      </c>
    </row>
    <row r="412" spans="1:8" ht="31.5" x14ac:dyDescent="0.25">
      <c r="A412" s="31" t="s">
        <v>146</v>
      </c>
      <c r="B412" s="324" t="s">
        <v>249</v>
      </c>
      <c r="C412" s="324" t="s">
        <v>228</v>
      </c>
      <c r="D412" s="347" t="s">
        <v>1105</v>
      </c>
      <c r="E412" s="324" t="s">
        <v>147</v>
      </c>
      <c r="F412" s="337">
        <f>F413</f>
        <v>155</v>
      </c>
      <c r="G412" s="337">
        <f t="shared" si="211"/>
        <v>155</v>
      </c>
      <c r="H412" s="337">
        <f t="shared" si="202"/>
        <v>100</v>
      </c>
    </row>
    <row r="413" spans="1:8" ht="47.25" x14ac:dyDescent="0.25">
      <c r="A413" s="31" t="s">
        <v>148</v>
      </c>
      <c r="B413" s="324" t="s">
        <v>249</v>
      </c>
      <c r="C413" s="324" t="s">
        <v>228</v>
      </c>
      <c r="D413" s="347" t="s">
        <v>1105</v>
      </c>
      <c r="E413" s="324" t="s">
        <v>149</v>
      </c>
      <c r="F413" s="337">
        <f>'Пр.4 ведом.20'!G1070</f>
        <v>155</v>
      </c>
      <c r="G413" s="337">
        <f>'Пр.4 ведом.20'!H1070</f>
        <v>155</v>
      </c>
      <c r="H413" s="337">
        <f t="shared" si="202"/>
        <v>100</v>
      </c>
    </row>
    <row r="414" spans="1:8" ht="31.5" hidden="1" x14ac:dyDescent="0.25">
      <c r="A414" s="58" t="s">
        <v>1103</v>
      </c>
      <c r="B414" s="312" t="s">
        <v>249</v>
      </c>
      <c r="C414" s="312" t="s">
        <v>228</v>
      </c>
      <c r="D414" s="319" t="s">
        <v>1104</v>
      </c>
      <c r="E414" s="312"/>
      <c r="F414" s="4">
        <f>F415</f>
        <v>0</v>
      </c>
      <c r="G414" s="4">
        <f t="shared" ref="G414:G416" si="212">G415</f>
        <v>0</v>
      </c>
      <c r="H414" s="337" t="e">
        <f t="shared" si="202"/>
        <v>#DIV/0!</v>
      </c>
    </row>
    <row r="415" spans="1:8" ht="15.75" hidden="1" x14ac:dyDescent="0.25">
      <c r="A415" s="45" t="s">
        <v>540</v>
      </c>
      <c r="B415" s="324" t="s">
        <v>249</v>
      </c>
      <c r="C415" s="324" t="s">
        <v>228</v>
      </c>
      <c r="D415" s="347" t="s">
        <v>1106</v>
      </c>
      <c r="E415" s="324"/>
      <c r="F415" s="337">
        <f>F416</f>
        <v>0</v>
      </c>
      <c r="G415" s="337">
        <f t="shared" si="212"/>
        <v>0</v>
      </c>
      <c r="H415" s="337" t="e">
        <f t="shared" si="202"/>
        <v>#DIV/0!</v>
      </c>
    </row>
    <row r="416" spans="1:8" ht="31.5" hidden="1" x14ac:dyDescent="0.25">
      <c r="A416" s="31" t="s">
        <v>146</v>
      </c>
      <c r="B416" s="324" t="s">
        <v>249</v>
      </c>
      <c r="C416" s="324" t="s">
        <v>228</v>
      </c>
      <c r="D416" s="347" t="s">
        <v>1106</v>
      </c>
      <c r="E416" s="324" t="s">
        <v>147</v>
      </c>
      <c r="F416" s="337">
        <f>F417</f>
        <v>0</v>
      </c>
      <c r="G416" s="337">
        <f t="shared" si="212"/>
        <v>0</v>
      </c>
      <c r="H416" s="337" t="e">
        <f t="shared" si="202"/>
        <v>#DIV/0!</v>
      </c>
    </row>
    <row r="417" spans="1:8" ht="47.25" hidden="1" x14ac:dyDescent="0.25">
      <c r="A417" s="31" t="s">
        <v>148</v>
      </c>
      <c r="B417" s="324" t="s">
        <v>249</v>
      </c>
      <c r="C417" s="324" t="s">
        <v>228</v>
      </c>
      <c r="D417" s="347" t="s">
        <v>1106</v>
      </c>
      <c r="E417" s="324" t="s">
        <v>149</v>
      </c>
      <c r="F417" s="337">
        <f>'Пр.4 ведом.20'!G1074</f>
        <v>0</v>
      </c>
      <c r="G417" s="337">
        <f>'Пр.4 ведом.20'!H1074</f>
        <v>0</v>
      </c>
      <c r="H417" s="337" t="e">
        <f t="shared" si="202"/>
        <v>#DIV/0!</v>
      </c>
    </row>
    <row r="418" spans="1:8" ht="31.5" x14ac:dyDescent="0.25">
      <c r="A418" s="58" t="s">
        <v>1107</v>
      </c>
      <c r="B418" s="312" t="s">
        <v>249</v>
      </c>
      <c r="C418" s="312" t="s">
        <v>228</v>
      </c>
      <c r="D418" s="319" t="s">
        <v>1108</v>
      </c>
      <c r="E418" s="312"/>
      <c r="F418" s="4">
        <f>F419</f>
        <v>44</v>
      </c>
      <c r="G418" s="4">
        <f t="shared" ref="G418:G420" si="213">G419</f>
        <v>44</v>
      </c>
      <c r="H418" s="4">
        <f t="shared" si="202"/>
        <v>100</v>
      </c>
    </row>
    <row r="419" spans="1:8" ht="15.75" x14ac:dyDescent="0.25">
      <c r="A419" s="45" t="s">
        <v>542</v>
      </c>
      <c r="B419" s="324" t="s">
        <v>249</v>
      </c>
      <c r="C419" s="324" t="s">
        <v>228</v>
      </c>
      <c r="D419" s="347" t="s">
        <v>1109</v>
      </c>
      <c r="E419" s="324"/>
      <c r="F419" s="337">
        <f>F420</f>
        <v>44</v>
      </c>
      <c r="G419" s="337">
        <f t="shared" si="213"/>
        <v>44</v>
      </c>
      <c r="H419" s="337">
        <f t="shared" si="202"/>
        <v>100</v>
      </c>
    </row>
    <row r="420" spans="1:8" ht="31.5" x14ac:dyDescent="0.25">
      <c r="A420" s="31" t="s">
        <v>146</v>
      </c>
      <c r="B420" s="324" t="s">
        <v>249</v>
      </c>
      <c r="C420" s="324" t="s">
        <v>228</v>
      </c>
      <c r="D420" s="347" t="s">
        <v>1109</v>
      </c>
      <c r="E420" s="324" t="s">
        <v>147</v>
      </c>
      <c r="F420" s="337">
        <f>F421</f>
        <v>44</v>
      </c>
      <c r="G420" s="337">
        <f t="shared" si="213"/>
        <v>44</v>
      </c>
      <c r="H420" s="337">
        <f t="shared" si="202"/>
        <v>100</v>
      </c>
    </row>
    <row r="421" spans="1:8" ht="47.25" x14ac:dyDescent="0.25">
      <c r="A421" s="31" t="s">
        <v>148</v>
      </c>
      <c r="B421" s="324" t="s">
        <v>249</v>
      </c>
      <c r="C421" s="324" t="s">
        <v>228</v>
      </c>
      <c r="D421" s="347" t="s">
        <v>1109</v>
      </c>
      <c r="E421" s="324" t="s">
        <v>149</v>
      </c>
      <c r="F421" s="337">
        <f>'Пр.4 ведом.20'!G1078</f>
        <v>44</v>
      </c>
      <c r="G421" s="337">
        <f>'Пр.4 ведом.20'!H1078</f>
        <v>44</v>
      </c>
      <c r="H421" s="337">
        <f t="shared" si="202"/>
        <v>100</v>
      </c>
    </row>
    <row r="422" spans="1:8" ht="31.5" hidden="1" x14ac:dyDescent="0.25">
      <c r="A422" s="34" t="s">
        <v>1170</v>
      </c>
      <c r="B422" s="312" t="s">
        <v>249</v>
      </c>
      <c r="C422" s="312" t="s">
        <v>228</v>
      </c>
      <c r="D422" s="319" t="s">
        <v>1171</v>
      </c>
      <c r="E422" s="312"/>
      <c r="F422" s="4">
        <f>F423</f>
        <v>0</v>
      </c>
      <c r="G422" s="4">
        <f t="shared" ref="G422:G424" si="214">G423</f>
        <v>0</v>
      </c>
      <c r="H422" s="337" t="e">
        <f t="shared" si="202"/>
        <v>#DIV/0!</v>
      </c>
    </row>
    <row r="423" spans="1:8" ht="18" hidden="1" customHeight="1" x14ac:dyDescent="0.25">
      <c r="A423" s="45" t="s">
        <v>544</v>
      </c>
      <c r="B423" s="324" t="s">
        <v>249</v>
      </c>
      <c r="C423" s="324" t="s">
        <v>228</v>
      </c>
      <c r="D423" s="347" t="s">
        <v>1174</v>
      </c>
      <c r="E423" s="324"/>
      <c r="F423" s="337">
        <f>F424</f>
        <v>0</v>
      </c>
      <c r="G423" s="337">
        <f t="shared" si="214"/>
        <v>0</v>
      </c>
      <c r="H423" s="337" t="e">
        <f t="shared" si="202"/>
        <v>#DIV/0!</v>
      </c>
    </row>
    <row r="424" spans="1:8" ht="31.5" hidden="1" x14ac:dyDescent="0.25">
      <c r="A424" s="31" t="s">
        <v>146</v>
      </c>
      <c r="B424" s="324" t="s">
        <v>249</v>
      </c>
      <c r="C424" s="324" t="s">
        <v>228</v>
      </c>
      <c r="D424" s="347" t="s">
        <v>1174</v>
      </c>
      <c r="E424" s="324" t="s">
        <v>147</v>
      </c>
      <c r="F424" s="337">
        <f>F425</f>
        <v>0</v>
      </c>
      <c r="G424" s="337">
        <f t="shared" si="214"/>
        <v>0</v>
      </c>
      <c r="H424" s="337" t="e">
        <f t="shared" si="202"/>
        <v>#DIV/0!</v>
      </c>
    </row>
    <row r="425" spans="1:8" ht="47.25" hidden="1" x14ac:dyDescent="0.25">
      <c r="A425" s="31" t="s">
        <v>148</v>
      </c>
      <c r="B425" s="324" t="s">
        <v>249</v>
      </c>
      <c r="C425" s="324" t="s">
        <v>228</v>
      </c>
      <c r="D425" s="347" t="s">
        <v>1174</v>
      </c>
      <c r="E425" s="324" t="s">
        <v>149</v>
      </c>
      <c r="F425" s="337">
        <f>'Пр.4 ведом.20'!G1082</f>
        <v>0</v>
      </c>
      <c r="G425" s="337">
        <f>'Пр.4 ведом.20'!H1082</f>
        <v>0</v>
      </c>
      <c r="H425" s="337" t="e">
        <f t="shared" si="202"/>
        <v>#DIV/0!</v>
      </c>
    </row>
    <row r="426" spans="1:8" ht="31.5" hidden="1" x14ac:dyDescent="0.25">
      <c r="A426" s="225" t="s">
        <v>1172</v>
      </c>
      <c r="B426" s="312" t="s">
        <v>249</v>
      </c>
      <c r="C426" s="312" t="s">
        <v>228</v>
      </c>
      <c r="D426" s="319" t="s">
        <v>1173</v>
      </c>
      <c r="E426" s="312"/>
      <c r="F426" s="4">
        <f>F427</f>
        <v>0</v>
      </c>
      <c r="G426" s="4">
        <f t="shared" ref="G426:G428" si="215">G427</f>
        <v>0</v>
      </c>
      <c r="H426" s="337" t="e">
        <f t="shared" si="202"/>
        <v>#DIV/0!</v>
      </c>
    </row>
    <row r="427" spans="1:8" ht="31.5" hidden="1" x14ac:dyDescent="0.25">
      <c r="A427" s="178" t="s">
        <v>546</v>
      </c>
      <c r="B427" s="324" t="s">
        <v>249</v>
      </c>
      <c r="C427" s="324" t="s">
        <v>228</v>
      </c>
      <c r="D427" s="347" t="s">
        <v>1175</v>
      </c>
      <c r="E427" s="324"/>
      <c r="F427" s="337">
        <f>F428</f>
        <v>0</v>
      </c>
      <c r="G427" s="337">
        <f t="shared" si="215"/>
        <v>0</v>
      </c>
      <c r="H427" s="337" t="e">
        <f t="shared" si="202"/>
        <v>#DIV/0!</v>
      </c>
    </row>
    <row r="428" spans="1:8" ht="31.5" hidden="1" x14ac:dyDescent="0.25">
      <c r="A428" s="31" t="s">
        <v>146</v>
      </c>
      <c r="B428" s="324" t="s">
        <v>249</v>
      </c>
      <c r="C428" s="324" t="s">
        <v>228</v>
      </c>
      <c r="D428" s="347" t="s">
        <v>1175</v>
      </c>
      <c r="E428" s="324" t="s">
        <v>147</v>
      </c>
      <c r="F428" s="337">
        <f>F429</f>
        <v>0</v>
      </c>
      <c r="G428" s="337">
        <f t="shared" si="215"/>
        <v>0</v>
      </c>
      <c r="H428" s="337" t="e">
        <f t="shared" si="202"/>
        <v>#DIV/0!</v>
      </c>
    </row>
    <row r="429" spans="1:8" ht="47.25" hidden="1" x14ac:dyDescent="0.25">
      <c r="A429" s="31" t="s">
        <v>148</v>
      </c>
      <c r="B429" s="324" t="s">
        <v>249</v>
      </c>
      <c r="C429" s="324" t="s">
        <v>228</v>
      </c>
      <c r="D429" s="347" t="s">
        <v>1175</v>
      </c>
      <c r="E429" s="324" t="s">
        <v>149</v>
      </c>
      <c r="F429" s="337">
        <f>'Пр.4 ведом.20'!G1086</f>
        <v>0</v>
      </c>
      <c r="G429" s="337">
        <f>'Пр.4 ведом.20'!H1086</f>
        <v>0</v>
      </c>
      <c r="H429" s="337" t="e">
        <f t="shared" si="202"/>
        <v>#DIV/0!</v>
      </c>
    </row>
    <row r="430" spans="1:8" ht="31.5" hidden="1" x14ac:dyDescent="0.25">
      <c r="A430" s="225" t="s">
        <v>1111</v>
      </c>
      <c r="B430" s="312" t="s">
        <v>249</v>
      </c>
      <c r="C430" s="312" t="s">
        <v>228</v>
      </c>
      <c r="D430" s="319" t="s">
        <v>1112</v>
      </c>
      <c r="E430" s="312"/>
      <c r="F430" s="4">
        <f>F431</f>
        <v>0</v>
      </c>
      <c r="G430" s="4">
        <f t="shared" ref="G430:G432" si="216">G431</f>
        <v>0</v>
      </c>
      <c r="H430" s="337" t="e">
        <f t="shared" si="202"/>
        <v>#DIV/0!</v>
      </c>
    </row>
    <row r="431" spans="1:8" ht="15.75" hidden="1" x14ac:dyDescent="0.25">
      <c r="A431" s="178" t="s">
        <v>548</v>
      </c>
      <c r="B431" s="324" t="s">
        <v>249</v>
      </c>
      <c r="C431" s="324" t="s">
        <v>228</v>
      </c>
      <c r="D431" s="347" t="s">
        <v>1110</v>
      </c>
      <c r="E431" s="324"/>
      <c r="F431" s="337">
        <f>F432</f>
        <v>0</v>
      </c>
      <c r="G431" s="337">
        <f t="shared" si="216"/>
        <v>0</v>
      </c>
      <c r="H431" s="337" t="e">
        <f t="shared" si="202"/>
        <v>#DIV/0!</v>
      </c>
    </row>
    <row r="432" spans="1:8" ht="31.5" hidden="1" x14ac:dyDescent="0.25">
      <c r="A432" s="349" t="s">
        <v>146</v>
      </c>
      <c r="B432" s="324" t="s">
        <v>249</v>
      </c>
      <c r="C432" s="324" t="s">
        <v>228</v>
      </c>
      <c r="D432" s="347" t="s">
        <v>1110</v>
      </c>
      <c r="E432" s="324" t="s">
        <v>147</v>
      </c>
      <c r="F432" s="337">
        <f>F433</f>
        <v>0</v>
      </c>
      <c r="G432" s="337">
        <f t="shared" si="216"/>
        <v>0</v>
      </c>
      <c r="H432" s="337" t="e">
        <f t="shared" si="202"/>
        <v>#DIV/0!</v>
      </c>
    </row>
    <row r="433" spans="1:8" s="210" customFormat="1" ht="47.25" hidden="1" x14ac:dyDescent="0.25">
      <c r="A433" s="349" t="s">
        <v>148</v>
      </c>
      <c r="B433" s="324" t="s">
        <v>249</v>
      </c>
      <c r="C433" s="324" t="s">
        <v>228</v>
      </c>
      <c r="D433" s="347" t="s">
        <v>1110</v>
      </c>
      <c r="E433" s="324" t="s">
        <v>149</v>
      </c>
      <c r="F433" s="337">
        <f>'Пр.4 ведом.20'!G1090</f>
        <v>0</v>
      </c>
      <c r="G433" s="337">
        <f>'Пр.4 ведом.20'!H1090</f>
        <v>0</v>
      </c>
      <c r="H433" s="337" t="e">
        <f t="shared" si="202"/>
        <v>#DIV/0!</v>
      </c>
    </row>
    <row r="434" spans="1:8" s="210" customFormat="1" ht="47.25" hidden="1" x14ac:dyDescent="0.25">
      <c r="A434" s="318" t="s">
        <v>1355</v>
      </c>
      <c r="B434" s="312" t="s">
        <v>249</v>
      </c>
      <c r="C434" s="312" t="s">
        <v>228</v>
      </c>
      <c r="D434" s="319" t="s">
        <v>1354</v>
      </c>
      <c r="E434" s="312"/>
      <c r="F434" s="4">
        <f>F435</f>
        <v>0</v>
      </c>
      <c r="G434" s="4">
        <f t="shared" ref="G434:G437" si="217">G435</f>
        <v>0</v>
      </c>
      <c r="H434" s="337" t="e">
        <f t="shared" si="202"/>
        <v>#DIV/0!</v>
      </c>
    </row>
    <row r="435" spans="1:8" s="210" customFormat="1" ht="31.5" hidden="1" x14ac:dyDescent="0.25">
      <c r="A435" s="318" t="s">
        <v>1356</v>
      </c>
      <c r="B435" s="312" t="s">
        <v>249</v>
      </c>
      <c r="C435" s="312" t="s">
        <v>228</v>
      </c>
      <c r="D435" s="319" t="s">
        <v>1357</v>
      </c>
      <c r="E435" s="312"/>
      <c r="F435" s="4">
        <f>F436</f>
        <v>0</v>
      </c>
      <c r="G435" s="4">
        <f t="shared" si="217"/>
        <v>0</v>
      </c>
      <c r="H435" s="337" t="e">
        <f t="shared" si="202"/>
        <v>#DIV/0!</v>
      </c>
    </row>
    <row r="436" spans="1:8" s="210" customFormat="1" ht="15.75" hidden="1" x14ac:dyDescent="0.25">
      <c r="A436" s="349" t="s">
        <v>552</v>
      </c>
      <c r="B436" s="324" t="s">
        <v>249</v>
      </c>
      <c r="C436" s="324" t="s">
        <v>228</v>
      </c>
      <c r="D436" s="347" t="s">
        <v>1358</v>
      </c>
      <c r="E436" s="324"/>
      <c r="F436" s="337">
        <f>F437</f>
        <v>0</v>
      </c>
      <c r="G436" s="337">
        <f t="shared" si="217"/>
        <v>0</v>
      </c>
      <c r="H436" s="337" t="e">
        <f t="shared" si="202"/>
        <v>#DIV/0!</v>
      </c>
    </row>
    <row r="437" spans="1:8" s="210" customFormat="1" ht="31.5" hidden="1" x14ac:dyDescent="0.25">
      <c r="A437" s="349" t="s">
        <v>146</v>
      </c>
      <c r="B437" s="324" t="s">
        <v>249</v>
      </c>
      <c r="C437" s="324" t="s">
        <v>228</v>
      </c>
      <c r="D437" s="347" t="s">
        <v>1358</v>
      </c>
      <c r="E437" s="324" t="s">
        <v>147</v>
      </c>
      <c r="F437" s="337">
        <f>F438</f>
        <v>0</v>
      </c>
      <c r="G437" s="337">
        <f t="shared" si="217"/>
        <v>0</v>
      </c>
      <c r="H437" s="337" t="e">
        <f t="shared" si="202"/>
        <v>#DIV/0!</v>
      </c>
    </row>
    <row r="438" spans="1:8" s="210" customFormat="1" ht="47.25" hidden="1" x14ac:dyDescent="0.25">
      <c r="A438" s="349" t="s">
        <v>148</v>
      </c>
      <c r="B438" s="324" t="s">
        <v>249</v>
      </c>
      <c r="C438" s="324" t="s">
        <v>228</v>
      </c>
      <c r="D438" s="347" t="s">
        <v>1358</v>
      </c>
      <c r="E438" s="324" t="s">
        <v>149</v>
      </c>
      <c r="F438" s="337">
        <f>'Пр.4 ведом.20'!G1095</f>
        <v>0</v>
      </c>
      <c r="G438" s="337">
        <f>'Пр.4 ведом.20'!H1095</f>
        <v>0</v>
      </c>
      <c r="H438" s="337" t="e">
        <f t="shared" si="202"/>
        <v>#DIV/0!</v>
      </c>
    </row>
    <row r="439" spans="1:8" ht="15.75" x14ac:dyDescent="0.25">
      <c r="A439" s="41" t="s">
        <v>556</v>
      </c>
      <c r="B439" s="312" t="s">
        <v>249</v>
      </c>
      <c r="C439" s="312" t="s">
        <v>230</v>
      </c>
      <c r="D439" s="312"/>
      <c r="E439" s="312"/>
      <c r="F439" s="4">
        <f>F440+F447+F485</f>
        <v>4821.6000000000004</v>
      </c>
      <c r="G439" s="4">
        <f t="shared" ref="G439" si="218">G440+G447+G485</f>
        <v>4114.4809999999998</v>
      </c>
      <c r="H439" s="4">
        <f t="shared" si="202"/>
        <v>85.334349593495929</v>
      </c>
    </row>
    <row r="440" spans="1:8" s="210" customFormat="1" ht="15.75" x14ac:dyDescent="0.25">
      <c r="A440" s="318" t="s">
        <v>156</v>
      </c>
      <c r="B440" s="319" t="s">
        <v>249</v>
      </c>
      <c r="C440" s="319" t="s">
        <v>230</v>
      </c>
      <c r="D440" s="319" t="s">
        <v>910</v>
      </c>
      <c r="E440" s="319"/>
      <c r="F440" s="4">
        <f>F441</f>
        <v>416</v>
      </c>
      <c r="G440" s="4">
        <f t="shared" ref="G440:G441" si="219">G441</f>
        <v>415.483</v>
      </c>
      <c r="H440" s="4">
        <f t="shared" si="202"/>
        <v>99.875721153846158</v>
      </c>
    </row>
    <row r="441" spans="1:8" s="210" customFormat="1" ht="31.5" x14ac:dyDescent="0.25">
      <c r="A441" s="318" t="s">
        <v>914</v>
      </c>
      <c r="B441" s="319" t="s">
        <v>249</v>
      </c>
      <c r="C441" s="319" t="s">
        <v>230</v>
      </c>
      <c r="D441" s="319" t="s">
        <v>909</v>
      </c>
      <c r="E441" s="319"/>
      <c r="F441" s="4">
        <f>F442</f>
        <v>416</v>
      </c>
      <c r="G441" s="4">
        <f t="shared" si="219"/>
        <v>415.483</v>
      </c>
      <c r="H441" s="4">
        <f t="shared" si="202"/>
        <v>99.875721153846158</v>
      </c>
    </row>
    <row r="442" spans="1:8" s="210" customFormat="1" ht="15.75" x14ac:dyDescent="0.25">
      <c r="A442" s="349" t="s">
        <v>579</v>
      </c>
      <c r="B442" s="347" t="s">
        <v>249</v>
      </c>
      <c r="C442" s="347" t="s">
        <v>230</v>
      </c>
      <c r="D442" s="347" t="s">
        <v>1259</v>
      </c>
      <c r="E442" s="347"/>
      <c r="F442" s="337">
        <f>F443+F445</f>
        <v>416</v>
      </c>
      <c r="G442" s="337">
        <f t="shared" ref="G442" si="220">G443+G445</f>
        <v>415.483</v>
      </c>
      <c r="H442" s="337">
        <f t="shared" si="202"/>
        <v>99.875721153846158</v>
      </c>
    </row>
    <row r="443" spans="1:8" s="210" customFormat="1" ht="31.5" x14ac:dyDescent="0.25">
      <c r="A443" s="349" t="s">
        <v>146</v>
      </c>
      <c r="B443" s="347" t="s">
        <v>249</v>
      </c>
      <c r="C443" s="347" t="s">
        <v>230</v>
      </c>
      <c r="D443" s="347" t="s">
        <v>1259</v>
      </c>
      <c r="E443" s="347" t="s">
        <v>147</v>
      </c>
      <c r="F443" s="337">
        <f>F444</f>
        <v>386</v>
      </c>
      <c r="G443" s="337">
        <f t="shared" ref="G443" si="221">G444</f>
        <v>385.483</v>
      </c>
      <c r="H443" s="337">
        <f t="shared" si="202"/>
        <v>99.866062176165798</v>
      </c>
    </row>
    <row r="444" spans="1:8" s="210" customFormat="1" ht="47.25" x14ac:dyDescent="0.25">
      <c r="A444" s="349" t="s">
        <v>148</v>
      </c>
      <c r="B444" s="347" t="s">
        <v>249</v>
      </c>
      <c r="C444" s="347" t="s">
        <v>230</v>
      </c>
      <c r="D444" s="347" t="s">
        <v>1259</v>
      </c>
      <c r="E444" s="347" t="s">
        <v>149</v>
      </c>
      <c r="F444" s="337">
        <f>'Пр.4 ведом.20'!G1101</f>
        <v>386</v>
      </c>
      <c r="G444" s="337">
        <f>'Пр.4 ведом.20'!H1101</f>
        <v>385.483</v>
      </c>
      <c r="H444" s="337">
        <f t="shared" si="202"/>
        <v>99.866062176165798</v>
      </c>
    </row>
    <row r="445" spans="1:8" s="309" customFormat="1" ht="15.75" x14ac:dyDescent="0.25">
      <c r="A445" s="323" t="s">
        <v>150</v>
      </c>
      <c r="B445" s="347" t="s">
        <v>249</v>
      </c>
      <c r="C445" s="347" t="s">
        <v>230</v>
      </c>
      <c r="D445" s="347" t="s">
        <v>1259</v>
      </c>
      <c r="E445" s="347" t="s">
        <v>160</v>
      </c>
      <c r="F445" s="337">
        <f>F446</f>
        <v>30</v>
      </c>
      <c r="G445" s="337">
        <f t="shared" ref="G445" si="222">G446</f>
        <v>30</v>
      </c>
      <c r="H445" s="337">
        <f t="shared" si="202"/>
        <v>100</v>
      </c>
    </row>
    <row r="446" spans="1:8" s="309" customFormat="1" ht="15.75" x14ac:dyDescent="0.25">
      <c r="A446" s="323" t="s">
        <v>583</v>
      </c>
      <c r="B446" s="347" t="s">
        <v>249</v>
      </c>
      <c r="C446" s="347" t="s">
        <v>230</v>
      </c>
      <c r="D446" s="347" t="s">
        <v>1259</v>
      </c>
      <c r="E446" s="347" t="s">
        <v>153</v>
      </c>
      <c r="F446" s="337">
        <f>'Пр.4 ведом.20'!G1103</f>
        <v>30</v>
      </c>
      <c r="G446" s="337">
        <f>'Пр.4 ведом.20'!H1103</f>
        <v>30</v>
      </c>
      <c r="H446" s="337">
        <f t="shared" si="202"/>
        <v>100</v>
      </c>
    </row>
    <row r="447" spans="1:8" ht="48.2" customHeight="1" x14ac:dyDescent="0.25">
      <c r="A447" s="318" t="s">
        <v>557</v>
      </c>
      <c r="B447" s="312" t="s">
        <v>249</v>
      </c>
      <c r="C447" s="312" t="s">
        <v>230</v>
      </c>
      <c r="D447" s="312" t="s">
        <v>558</v>
      </c>
      <c r="E447" s="312"/>
      <c r="F447" s="4">
        <f t="shared" ref="F447" si="223">F448+F462</f>
        <v>4405.6000000000004</v>
      </c>
      <c r="G447" s="4">
        <f t="shared" ref="G447" si="224">G448+G462</f>
        <v>3698.998</v>
      </c>
      <c r="H447" s="4">
        <f t="shared" si="202"/>
        <v>83.96127655710913</v>
      </c>
    </row>
    <row r="448" spans="1:8" ht="47.25" x14ac:dyDescent="0.25">
      <c r="A448" s="318" t="s">
        <v>559</v>
      </c>
      <c r="B448" s="319" t="s">
        <v>249</v>
      </c>
      <c r="C448" s="319" t="s">
        <v>230</v>
      </c>
      <c r="D448" s="319" t="s">
        <v>560</v>
      </c>
      <c r="E448" s="319"/>
      <c r="F448" s="4">
        <f>F449</f>
        <v>1960.9</v>
      </c>
      <c r="G448" s="4">
        <f t="shared" ref="G448" si="225">G449</f>
        <v>1960.616</v>
      </c>
      <c r="H448" s="4">
        <f t="shared" si="202"/>
        <v>99.985516854505576</v>
      </c>
    </row>
    <row r="449" spans="1:8" s="210" customFormat="1" ht="31.5" x14ac:dyDescent="0.25">
      <c r="A449" s="318" t="s">
        <v>1120</v>
      </c>
      <c r="B449" s="319" t="s">
        <v>249</v>
      </c>
      <c r="C449" s="319" t="s">
        <v>230</v>
      </c>
      <c r="D449" s="319" t="s">
        <v>1118</v>
      </c>
      <c r="E449" s="319"/>
      <c r="F449" s="4">
        <f>F450+F453+F459</f>
        <v>1960.9</v>
      </c>
      <c r="G449" s="4">
        <f t="shared" ref="G449" si="226">G450+G453+G459</f>
        <v>1960.616</v>
      </c>
      <c r="H449" s="4">
        <f t="shared" si="202"/>
        <v>99.985516854505576</v>
      </c>
    </row>
    <row r="450" spans="1:8" ht="24" customHeight="1" x14ac:dyDescent="0.25">
      <c r="A450" s="349" t="s">
        <v>561</v>
      </c>
      <c r="B450" s="347" t="s">
        <v>249</v>
      </c>
      <c r="C450" s="347" t="s">
        <v>230</v>
      </c>
      <c r="D450" s="347" t="s">
        <v>1119</v>
      </c>
      <c r="E450" s="347"/>
      <c r="F450" s="337">
        <f t="shared" ref="F450:G451" si="227">F451</f>
        <v>740.59999999999991</v>
      </c>
      <c r="G450" s="337">
        <f t="shared" si="227"/>
        <v>740.42700000000002</v>
      </c>
      <c r="H450" s="337">
        <f t="shared" si="202"/>
        <v>99.976640561706745</v>
      </c>
    </row>
    <row r="451" spans="1:8" ht="31.5" x14ac:dyDescent="0.25">
      <c r="A451" s="349" t="s">
        <v>146</v>
      </c>
      <c r="B451" s="347" t="s">
        <v>249</v>
      </c>
      <c r="C451" s="347" t="s">
        <v>230</v>
      </c>
      <c r="D451" s="347" t="s">
        <v>1119</v>
      </c>
      <c r="E451" s="347" t="s">
        <v>147</v>
      </c>
      <c r="F451" s="337">
        <f t="shared" si="227"/>
        <v>740.59999999999991</v>
      </c>
      <c r="G451" s="337">
        <f t="shared" si="227"/>
        <v>740.42700000000002</v>
      </c>
      <c r="H451" s="337">
        <f t="shared" si="202"/>
        <v>99.976640561706745</v>
      </c>
    </row>
    <row r="452" spans="1:8" ht="47.25" x14ac:dyDescent="0.25">
      <c r="A452" s="349" t="s">
        <v>148</v>
      </c>
      <c r="B452" s="347" t="s">
        <v>249</v>
      </c>
      <c r="C452" s="347" t="s">
        <v>230</v>
      </c>
      <c r="D452" s="347" t="s">
        <v>1119</v>
      </c>
      <c r="E452" s="347" t="s">
        <v>149</v>
      </c>
      <c r="F452" s="337">
        <f>'Пр.4 ведом.20'!G1109</f>
        <v>740.59999999999991</v>
      </c>
      <c r="G452" s="337">
        <f>'Пр.4 ведом.20'!H1109</f>
        <v>740.42700000000002</v>
      </c>
      <c r="H452" s="337">
        <f t="shared" si="202"/>
        <v>99.976640561706745</v>
      </c>
    </row>
    <row r="453" spans="1:8" ht="15.75" x14ac:dyDescent="0.25">
      <c r="A453" s="349" t="s">
        <v>563</v>
      </c>
      <c r="B453" s="347" t="s">
        <v>249</v>
      </c>
      <c r="C453" s="347" t="s">
        <v>230</v>
      </c>
      <c r="D453" s="347" t="s">
        <v>1121</v>
      </c>
      <c r="E453" s="347"/>
      <c r="F453" s="337">
        <f>F454+F456</f>
        <v>1220.3000000000002</v>
      </c>
      <c r="G453" s="337">
        <f t="shared" ref="G453" si="228">G454+G456</f>
        <v>1220.1890000000001</v>
      </c>
      <c r="H453" s="337">
        <f t="shared" si="202"/>
        <v>99.990903876096041</v>
      </c>
    </row>
    <row r="454" spans="1:8" ht="31.5" x14ac:dyDescent="0.25">
      <c r="A454" s="349" t="s">
        <v>146</v>
      </c>
      <c r="B454" s="347" t="s">
        <v>249</v>
      </c>
      <c r="C454" s="347" t="s">
        <v>230</v>
      </c>
      <c r="D454" s="347" t="s">
        <v>1121</v>
      </c>
      <c r="E454" s="347" t="s">
        <v>147</v>
      </c>
      <c r="F454" s="337">
        <f t="shared" ref="F454:G454" si="229">F455</f>
        <v>1220.3000000000002</v>
      </c>
      <c r="G454" s="337">
        <f t="shared" si="229"/>
        <v>1220.1890000000001</v>
      </c>
      <c r="H454" s="337">
        <f t="shared" si="202"/>
        <v>99.990903876096041</v>
      </c>
    </row>
    <row r="455" spans="1:8" ht="47.25" x14ac:dyDescent="0.25">
      <c r="A455" s="349" t="s">
        <v>148</v>
      </c>
      <c r="B455" s="347" t="s">
        <v>249</v>
      </c>
      <c r="C455" s="347" t="s">
        <v>230</v>
      </c>
      <c r="D455" s="347" t="s">
        <v>1121</v>
      </c>
      <c r="E455" s="347" t="s">
        <v>149</v>
      </c>
      <c r="F455" s="337">
        <f>'Пр.4 ведом.20'!G1112</f>
        <v>1220.3000000000002</v>
      </c>
      <c r="G455" s="337">
        <f>'Пр.4 ведом.20'!H1112</f>
        <v>1220.1890000000001</v>
      </c>
      <c r="H455" s="337">
        <f t="shared" si="202"/>
        <v>99.990903876096041</v>
      </c>
    </row>
    <row r="456" spans="1:8" ht="15.75" hidden="1" x14ac:dyDescent="0.25">
      <c r="A456" s="323" t="s">
        <v>150</v>
      </c>
      <c r="B456" s="347" t="s">
        <v>249</v>
      </c>
      <c r="C456" s="347" t="s">
        <v>230</v>
      </c>
      <c r="D456" s="347" t="s">
        <v>1121</v>
      </c>
      <c r="E456" s="347" t="s">
        <v>160</v>
      </c>
      <c r="F456" s="337">
        <f>F458+F457</f>
        <v>0</v>
      </c>
      <c r="G456" s="337">
        <f t="shared" ref="G456" si="230">G458+G457</f>
        <v>0</v>
      </c>
      <c r="H456" s="337" t="e">
        <f t="shared" si="202"/>
        <v>#DIV/0!</v>
      </c>
    </row>
    <row r="457" spans="1:8" s="210" customFormat="1" ht="47.25" hidden="1" x14ac:dyDescent="0.25">
      <c r="A457" s="349" t="s">
        <v>880</v>
      </c>
      <c r="B457" s="347" t="s">
        <v>249</v>
      </c>
      <c r="C457" s="347" t="s">
        <v>230</v>
      </c>
      <c r="D457" s="347" t="s">
        <v>1121</v>
      </c>
      <c r="E457" s="347" t="s">
        <v>162</v>
      </c>
      <c r="F457" s="337">
        <f>'Пр.4 ведом.20'!G1114</f>
        <v>0</v>
      </c>
      <c r="G457" s="337">
        <f>'Пр.4 ведом.20'!H1114</f>
        <v>0</v>
      </c>
      <c r="H457" s="337" t="e">
        <f t="shared" ref="H457:H520" si="231">G457/F457*100</f>
        <v>#DIV/0!</v>
      </c>
    </row>
    <row r="458" spans="1:8" ht="15.75" hidden="1" x14ac:dyDescent="0.25">
      <c r="A458" s="323" t="s">
        <v>583</v>
      </c>
      <c r="B458" s="347" t="s">
        <v>249</v>
      </c>
      <c r="C458" s="347" t="s">
        <v>230</v>
      </c>
      <c r="D458" s="347" t="s">
        <v>1121</v>
      </c>
      <c r="E458" s="347" t="s">
        <v>153</v>
      </c>
      <c r="F458" s="337">
        <f>'Пр.4 ведом.20'!G1115</f>
        <v>0</v>
      </c>
      <c r="G458" s="337">
        <f>'Пр.4 ведом.20'!H1115</f>
        <v>0</v>
      </c>
      <c r="H458" s="337" t="e">
        <f t="shared" si="231"/>
        <v>#DIV/0!</v>
      </c>
    </row>
    <row r="459" spans="1:8" ht="15.75" hidden="1" x14ac:dyDescent="0.25">
      <c r="A459" s="349" t="s">
        <v>565</v>
      </c>
      <c r="B459" s="347" t="s">
        <v>249</v>
      </c>
      <c r="C459" s="347" t="s">
        <v>230</v>
      </c>
      <c r="D459" s="347" t="s">
        <v>1122</v>
      </c>
      <c r="E459" s="347"/>
      <c r="F459" s="337">
        <f t="shared" ref="F459:G460" si="232">F460</f>
        <v>0</v>
      </c>
      <c r="G459" s="337">
        <f t="shared" si="232"/>
        <v>0</v>
      </c>
      <c r="H459" s="337" t="e">
        <f t="shared" si="231"/>
        <v>#DIV/0!</v>
      </c>
    </row>
    <row r="460" spans="1:8" ht="31.5" hidden="1" x14ac:dyDescent="0.25">
      <c r="A460" s="349" t="s">
        <v>146</v>
      </c>
      <c r="B460" s="347" t="s">
        <v>249</v>
      </c>
      <c r="C460" s="347" t="s">
        <v>230</v>
      </c>
      <c r="D460" s="347" t="s">
        <v>1122</v>
      </c>
      <c r="E460" s="347" t="s">
        <v>147</v>
      </c>
      <c r="F460" s="337">
        <f t="shared" si="232"/>
        <v>0</v>
      </c>
      <c r="G460" s="337">
        <f t="shared" si="232"/>
        <v>0</v>
      </c>
      <c r="H460" s="337" t="e">
        <f t="shared" si="231"/>
        <v>#DIV/0!</v>
      </c>
    </row>
    <row r="461" spans="1:8" ht="47.25" hidden="1" x14ac:dyDescent="0.25">
      <c r="A461" s="349" t="s">
        <v>148</v>
      </c>
      <c r="B461" s="347" t="s">
        <v>249</v>
      </c>
      <c r="C461" s="347" t="s">
        <v>230</v>
      </c>
      <c r="D461" s="347" t="s">
        <v>1122</v>
      </c>
      <c r="E461" s="347" t="s">
        <v>149</v>
      </c>
      <c r="F461" s="337">
        <f>'Пр.4 ведом.20'!G1118</f>
        <v>0</v>
      </c>
      <c r="G461" s="337">
        <f>'Пр.4 ведом.20'!H1118</f>
        <v>0</v>
      </c>
      <c r="H461" s="337" t="e">
        <f t="shared" si="231"/>
        <v>#DIV/0!</v>
      </c>
    </row>
    <row r="462" spans="1:8" ht="47.25" x14ac:dyDescent="0.25">
      <c r="A462" s="318" t="s">
        <v>567</v>
      </c>
      <c r="B462" s="319" t="s">
        <v>249</v>
      </c>
      <c r="C462" s="319" t="s">
        <v>230</v>
      </c>
      <c r="D462" s="319" t="s">
        <v>568</v>
      </c>
      <c r="E462" s="319"/>
      <c r="F462" s="4">
        <f>F463+F478</f>
        <v>2444.6999999999998</v>
      </c>
      <c r="G462" s="4">
        <f t="shared" ref="G462" si="233">G463+G478</f>
        <v>1738.3820000000001</v>
      </c>
      <c r="H462" s="4">
        <f t="shared" si="231"/>
        <v>71.108193234343688</v>
      </c>
    </row>
    <row r="463" spans="1:8" s="210" customFormat="1" ht="31.5" x14ac:dyDescent="0.25">
      <c r="A463" s="318" t="s">
        <v>1138</v>
      </c>
      <c r="B463" s="319" t="s">
        <v>249</v>
      </c>
      <c r="C463" s="319" t="s">
        <v>230</v>
      </c>
      <c r="D463" s="319" t="s">
        <v>1123</v>
      </c>
      <c r="E463" s="319"/>
      <c r="F463" s="4">
        <f>F464+F467+F470+F475</f>
        <v>530.20000000000005</v>
      </c>
      <c r="G463" s="4">
        <f t="shared" ref="G463" si="234">G464+G467+G470+G475</f>
        <v>527.78700000000003</v>
      </c>
      <c r="H463" s="4">
        <f t="shared" si="231"/>
        <v>99.544888721237271</v>
      </c>
    </row>
    <row r="464" spans="1:8" ht="15.75" hidden="1" x14ac:dyDescent="0.25">
      <c r="A464" s="349" t="s">
        <v>565</v>
      </c>
      <c r="B464" s="347" t="s">
        <v>249</v>
      </c>
      <c r="C464" s="347" t="s">
        <v>230</v>
      </c>
      <c r="D464" s="347" t="s">
        <v>1124</v>
      </c>
      <c r="E464" s="347"/>
      <c r="F464" s="337">
        <f>F465</f>
        <v>0</v>
      </c>
      <c r="G464" s="337">
        <f t="shared" ref="G464" si="235">G465</f>
        <v>0</v>
      </c>
      <c r="H464" s="337" t="e">
        <f t="shared" si="231"/>
        <v>#DIV/0!</v>
      </c>
    </row>
    <row r="465" spans="1:8" ht="31.5" hidden="1" x14ac:dyDescent="0.25">
      <c r="A465" s="349" t="s">
        <v>146</v>
      </c>
      <c r="B465" s="347" t="s">
        <v>249</v>
      </c>
      <c r="C465" s="347" t="s">
        <v>230</v>
      </c>
      <c r="D465" s="347" t="s">
        <v>1124</v>
      </c>
      <c r="E465" s="347" t="s">
        <v>147</v>
      </c>
      <c r="F465" s="337">
        <f t="shared" ref="F465:G465" si="236">F466</f>
        <v>0</v>
      </c>
      <c r="G465" s="337">
        <f t="shared" si="236"/>
        <v>0</v>
      </c>
      <c r="H465" s="337" t="e">
        <f t="shared" si="231"/>
        <v>#DIV/0!</v>
      </c>
    </row>
    <row r="466" spans="1:8" ht="47.25" hidden="1" x14ac:dyDescent="0.25">
      <c r="A466" s="349" t="s">
        <v>148</v>
      </c>
      <c r="B466" s="347" t="s">
        <v>249</v>
      </c>
      <c r="C466" s="347" t="s">
        <v>230</v>
      </c>
      <c r="D466" s="347" t="s">
        <v>1124</v>
      </c>
      <c r="E466" s="347" t="s">
        <v>149</v>
      </c>
      <c r="F466" s="337">
        <f>'Пр.4 ведом.20'!G1134</f>
        <v>0</v>
      </c>
      <c r="G466" s="337">
        <f>'Пр.4 ведом.20'!H1134</f>
        <v>0</v>
      </c>
      <c r="H466" s="337" t="e">
        <f t="shared" si="231"/>
        <v>#DIV/0!</v>
      </c>
    </row>
    <row r="467" spans="1:8" ht="15.75" x14ac:dyDescent="0.25">
      <c r="A467" s="349" t="s">
        <v>570</v>
      </c>
      <c r="B467" s="347" t="s">
        <v>249</v>
      </c>
      <c r="C467" s="347" t="s">
        <v>230</v>
      </c>
      <c r="D467" s="347" t="s">
        <v>1125</v>
      </c>
      <c r="E467" s="347"/>
      <c r="F467" s="337">
        <f t="shared" ref="F467:G468" si="237">F468</f>
        <v>39</v>
      </c>
      <c r="G467" s="337">
        <f t="shared" si="237"/>
        <v>38.130000000000003</v>
      </c>
      <c r="H467" s="337">
        <f t="shared" si="231"/>
        <v>97.769230769230774</v>
      </c>
    </row>
    <row r="468" spans="1:8" ht="31.5" x14ac:dyDescent="0.25">
      <c r="A468" s="349" t="s">
        <v>146</v>
      </c>
      <c r="B468" s="347" t="s">
        <v>249</v>
      </c>
      <c r="C468" s="347" t="s">
        <v>230</v>
      </c>
      <c r="D468" s="347" t="s">
        <v>1125</v>
      </c>
      <c r="E468" s="347" t="s">
        <v>147</v>
      </c>
      <c r="F468" s="337">
        <f t="shared" si="237"/>
        <v>39</v>
      </c>
      <c r="G468" s="337">
        <f t="shared" si="237"/>
        <v>38.130000000000003</v>
      </c>
      <c r="H468" s="337">
        <f t="shared" si="231"/>
        <v>97.769230769230774</v>
      </c>
    </row>
    <row r="469" spans="1:8" ht="47.25" x14ac:dyDescent="0.25">
      <c r="A469" s="349" t="s">
        <v>148</v>
      </c>
      <c r="B469" s="347" t="s">
        <v>249</v>
      </c>
      <c r="C469" s="347" t="s">
        <v>230</v>
      </c>
      <c r="D469" s="347" t="s">
        <v>1125</v>
      </c>
      <c r="E469" s="347" t="s">
        <v>149</v>
      </c>
      <c r="F469" s="337">
        <f>'Пр.4 ведом.20'!G1123</f>
        <v>39</v>
      </c>
      <c r="G469" s="337">
        <f>'Пр.4 ведом.20'!H1123</f>
        <v>38.130000000000003</v>
      </c>
      <c r="H469" s="337">
        <f t="shared" si="231"/>
        <v>97.769230769230774</v>
      </c>
    </row>
    <row r="470" spans="1:8" ht="47.25" x14ac:dyDescent="0.25">
      <c r="A470" s="99" t="s">
        <v>572</v>
      </c>
      <c r="B470" s="347" t="s">
        <v>249</v>
      </c>
      <c r="C470" s="347" t="s">
        <v>230</v>
      </c>
      <c r="D470" s="347" t="s">
        <v>1126</v>
      </c>
      <c r="E470" s="347"/>
      <c r="F470" s="337">
        <f>F471+F473</f>
        <v>491.2</v>
      </c>
      <c r="G470" s="337">
        <f t="shared" ref="G470" si="238">G471+G473</f>
        <v>489.65699999999998</v>
      </c>
      <c r="H470" s="337">
        <f t="shared" si="231"/>
        <v>99.685871335504885</v>
      </c>
    </row>
    <row r="471" spans="1:8" ht="31.5" x14ac:dyDescent="0.25">
      <c r="A471" s="349" t="s">
        <v>146</v>
      </c>
      <c r="B471" s="347" t="s">
        <v>249</v>
      </c>
      <c r="C471" s="347" t="s">
        <v>230</v>
      </c>
      <c r="D471" s="347" t="s">
        <v>1126</v>
      </c>
      <c r="E471" s="347" t="s">
        <v>147</v>
      </c>
      <c r="F471" s="337">
        <f t="shared" ref="F471:G471" si="239">F472</f>
        <v>491.2</v>
      </c>
      <c r="G471" s="337">
        <f t="shared" si="239"/>
        <v>489.65699999999998</v>
      </c>
      <c r="H471" s="337">
        <f t="shared" si="231"/>
        <v>99.685871335504885</v>
      </c>
    </row>
    <row r="472" spans="1:8" ht="47.25" x14ac:dyDescent="0.25">
      <c r="A472" s="349" t="s">
        <v>148</v>
      </c>
      <c r="B472" s="347" t="s">
        <v>249</v>
      </c>
      <c r="C472" s="347" t="s">
        <v>230</v>
      </c>
      <c r="D472" s="347" t="s">
        <v>1126</v>
      </c>
      <c r="E472" s="347" t="s">
        <v>149</v>
      </c>
      <c r="F472" s="337">
        <f>'Пр.4 ведом.20'!G1126</f>
        <v>491.2</v>
      </c>
      <c r="G472" s="337">
        <f>'Пр.4 ведом.20'!H1126</f>
        <v>489.65699999999998</v>
      </c>
      <c r="H472" s="337">
        <f t="shared" si="231"/>
        <v>99.685871335504885</v>
      </c>
    </row>
    <row r="473" spans="1:8" s="210" customFormat="1" ht="15.75" hidden="1" x14ac:dyDescent="0.25">
      <c r="A473" s="323" t="s">
        <v>150</v>
      </c>
      <c r="B473" s="347" t="s">
        <v>249</v>
      </c>
      <c r="C473" s="347" t="s">
        <v>230</v>
      </c>
      <c r="D473" s="347" t="s">
        <v>1126</v>
      </c>
      <c r="E473" s="347" t="s">
        <v>160</v>
      </c>
      <c r="F473" s="337">
        <f>F474</f>
        <v>0</v>
      </c>
      <c r="G473" s="337">
        <f t="shared" ref="G473" si="240">G474</f>
        <v>0</v>
      </c>
      <c r="H473" s="337" t="e">
        <f t="shared" si="231"/>
        <v>#DIV/0!</v>
      </c>
    </row>
    <row r="474" spans="1:8" s="210" customFormat="1" ht="15.75" hidden="1" x14ac:dyDescent="0.25">
      <c r="A474" s="323" t="s">
        <v>583</v>
      </c>
      <c r="B474" s="347" t="s">
        <v>249</v>
      </c>
      <c r="C474" s="347" t="s">
        <v>230</v>
      </c>
      <c r="D474" s="347" t="s">
        <v>1126</v>
      </c>
      <c r="E474" s="347" t="s">
        <v>153</v>
      </c>
      <c r="F474" s="337">
        <f>'Пр.4 ведом.20'!G1128</f>
        <v>0</v>
      </c>
      <c r="G474" s="337">
        <f>'Пр.4 ведом.20'!H1128</f>
        <v>0</v>
      </c>
      <c r="H474" s="337" t="e">
        <f t="shared" si="231"/>
        <v>#DIV/0!</v>
      </c>
    </row>
    <row r="475" spans="1:8" ht="15.75" hidden="1" x14ac:dyDescent="0.25">
      <c r="A475" s="99" t="s">
        <v>574</v>
      </c>
      <c r="B475" s="347" t="s">
        <v>249</v>
      </c>
      <c r="C475" s="347" t="s">
        <v>230</v>
      </c>
      <c r="D475" s="347" t="s">
        <v>1127</v>
      </c>
      <c r="E475" s="347"/>
      <c r="F475" s="337">
        <f t="shared" ref="F475:G476" si="241">F476</f>
        <v>0</v>
      </c>
      <c r="G475" s="337">
        <f t="shared" si="241"/>
        <v>0</v>
      </c>
      <c r="H475" s="337" t="e">
        <f t="shared" si="231"/>
        <v>#DIV/0!</v>
      </c>
    </row>
    <row r="476" spans="1:8" ht="31.5" hidden="1" x14ac:dyDescent="0.25">
      <c r="A476" s="349" t="s">
        <v>146</v>
      </c>
      <c r="B476" s="347" t="s">
        <v>249</v>
      </c>
      <c r="C476" s="347" t="s">
        <v>230</v>
      </c>
      <c r="D476" s="347" t="s">
        <v>1127</v>
      </c>
      <c r="E476" s="347" t="s">
        <v>147</v>
      </c>
      <c r="F476" s="337">
        <f t="shared" si="241"/>
        <v>0</v>
      </c>
      <c r="G476" s="337">
        <f t="shared" si="241"/>
        <v>0</v>
      </c>
      <c r="H476" s="337" t="e">
        <f t="shared" si="231"/>
        <v>#DIV/0!</v>
      </c>
    </row>
    <row r="477" spans="1:8" ht="47.25" hidden="1" x14ac:dyDescent="0.25">
      <c r="A477" s="349" t="s">
        <v>148</v>
      </c>
      <c r="B477" s="347" t="s">
        <v>249</v>
      </c>
      <c r="C477" s="347" t="s">
        <v>230</v>
      </c>
      <c r="D477" s="347" t="s">
        <v>1127</v>
      </c>
      <c r="E477" s="347" t="s">
        <v>149</v>
      </c>
      <c r="F477" s="337">
        <f>'Пр.4 ведом.20'!G1131</f>
        <v>0</v>
      </c>
      <c r="G477" s="337">
        <f>'Пр.4 ведом.20'!H1131</f>
        <v>0</v>
      </c>
      <c r="H477" s="337" t="e">
        <f t="shared" si="231"/>
        <v>#DIV/0!</v>
      </c>
    </row>
    <row r="478" spans="1:8" s="210" customFormat="1" ht="31.5" x14ac:dyDescent="0.25">
      <c r="A478" s="318" t="s">
        <v>948</v>
      </c>
      <c r="B478" s="312" t="s">
        <v>249</v>
      </c>
      <c r="C478" s="312" t="s">
        <v>230</v>
      </c>
      <c r="D478" s="319" t="s">
        <v>1128</v>
      </c>
      <c r="E478" s="319"/>
      <c r="F478" s="4">
        <f>F479+F482</f>
        <v>1914.5</v>
      </c>
      <c r="G478" s="4">
        <f t="shared" ref="G478" si="242">G479+G482</f>
        <v>1210.595</v>
      </c>
      <c r="H478" s="4">
        <f t="shared" si="231"/>
        <v>63.232958997127184</v>
      </c>
    </row>
    <row r="479" spans="1:8" s="210" customFormat="1" ht="31.5" hidden="1" x14ac:dyDescent="0.25">
      <c r="A479" s="349" t="s">
        <v>705</v>
      </c>
      <c r="B479" s="347" t="s">
        <v>249</v>
      </c>
      <c r="C479" s="347" t="s">
        <v>230</v>
      </c>
      <c r="D479" s="347" t="s">
        <v>1129</v>
      </c>
      <c r="E479" s="347"/>
      <c r="F479" s="337">
        <f t="shared" ref="F479:G480" si="243">F480</f>
        <v>0</v>
      </c>
      <c r="G479" s="337">
        <f t="shared" si="243"/>
        <v>0</v>
      </c>
      <c r="H479" s="337" t="e">
        <f t="shared" si="231"/>
        <v>#DIV/0!</v>
      </c>
    </row>
    <row r="480" spans="1:8" s="210" customFormat="1" ht="31.5" hidden="1" x14ac:dyDescent="0.25">
      <c r="A480" s="349" t="s">
        <v>146</v>
      </c>
      <c r="B480" s="347" t="s">
        <v>249</v>
      </c>
      <c r="C480" s="347" t="s">
        <v>230</v>
      </c>
      <c r="D480" s="347" t="s">
        <v>1129</v>
      </c>
      <c r="E480" s="347" t="s">
        <v>147</v>
      </c>
      <c r="F480" s="337">
        <f>F481</f>
        <v>0</v>
      </c>
      <c r="G480" s="337">
        <f t="shared" si="243"/>
        <v>0</v>
      </c>
      <c r="H480" s="337" t="e">
        <f t="shared" si="231"/>
        <v>#DIV/0!</v>
      </c>
    </row>
    <row r="481" spans="1:8" s="210" customFormat="1" ht="47.25" hidden="1" x14ac:dyDescent="0.25">
      <c r="A481" s="349" t="s">
        <v>148</v>
      </c>
      <c r="B481" s="347" t="s">
        <v>249</v>
      </c>
      <c r="C481" s="347" t="s">
        <v>230</v>
      </c>
      <c r="D481" s="347" t="s">
        <v>1129</v>
      </c>
      <c r="E481" s="347" t="s">
        <v>149</v>
      </c>
      <c r="F481" s="337">
        <f>'Пр.4 ведом.20'!G1138</f>
        <v>0</v>
      </c>
      <c r="G481" s="337">
        <f>'Пр.4 ведом.20'!H1138</f>
        <v>0</v>
      </c>
      <c r="H481" s="337" t="e">
        <f t="shared" si="231"/>
        <v>#DIV/0!</v>
      </c>
    </row>
    <row r="482" spans="1:8" s="210" customFormat="1" ht="63" x14ac:dyDescent="0.25">
      <c r="A482" s="349" t="s">
        <v>1247</v>
      </c>
      <c r="B482" s="347" t="s">
        <v>249</v>
      </c>
      <c r="C482" s="347" t="s">
        <v>230</v>
      </c>
      <c r="D482" s="347" t="s">
        <v>1248</v>
      </c>
      <c r="E482" s="347"/>
      <c r="F482" s="337">
        <f>F483</f>
        <v>1914.5</v>
      </c>
      <c r="G482" s="337">
        <f t="shared" ref="G482:G483" si="244">G483</f>
        <v>1210.595</v>
      </c>
      <c r="H482" s="337">
        <f t="shared" si="231"/>
        <v>63.232958997127184</v>
      </c>
    </row>
    <row r="483" spans="1:8" s="210" customFormat="1" ht="31.5" x14ac:dyDescent="0.25">
      <c r="A483" s="349" t="s">
        <v>146</v>
      </c>
      <c r="B483" s="347" t="s">
        <v>249</v>
      </c>
      <c r="C483" s="347" t="s">
        <v>230</v>
      </c>
      <c r="D483" s="347" t="s">
        <v>1248</v>
      </c>
      <c r="E483" s="347" t="s">
        <v>147</v>
      </c>
      <c r="F483" s="337">
        <f>F484</f>
        <v>1914.5</v>
      </c>
      <c r="G483" s="337">
        <f t="shared" si="244"/>
        <v>1210.595</v>
      </c>
      <c r="H483" s="337">
        <f t="shared" si="231"/>
        <v>63.232958997127184</v>
      </c>
    </row>
    <row r="484" spans="1:8" s="210" customFormat="1" ht="47.25" x14ac:dyDescent="0.25">
      <c r="A484" s="349" t="s">
        <v>148</v>
      </c>
      <c r="B484" s="347" t="s">
        <v>249</v>
      </c>
      <c r="C484" s="347" t="s">
        <v>230</v>
      </c>
      <c r="D484" s="347" t="s">
        <v>1248</v>
      </c>
      <c r="E484" s="347" t="s">
        <v>149</v>
      </c>
      <c r="F484" s="337">
        <f>'Пр.4 ведом.20'!G1141</f>
        <v>1914.5</v>
      </c>
      <c r="G484" s="337">
        <f>'Пр.4 ведом.20'!H1141</f>
        <v>1210.595</v>
      </c>
      <c r="H484" s="337">
        <f t="shared" si="231"/>
        <v>63.232958997127184</v>
      </c>
    </row>
    <row r="485" spans="1:8" ht="63" hidden="1" x14ac:dyDescent="0.25">
      <c r="A485" s="318" t="s">
        <v>820</v>
      </c>
      <c r="B485" s="319" t="s">
        <v>249</v>
      </c>
      <c r="C485" s="319" t="s">
        <v>230</v>
      </c>
      <c r="D485" s="319" t="s">
        <v>732</v>
      </c>
      <c r="E485" s="319"/>
      <c r="F485" s="4">
        <f t="shared" ref="F485" si="245">F487</f>
        <v>0</v>
      </c>
      <c r="G485" s="4">
        <f t="shared" ref="G485" si="246">G487</f>
        <v>0</v>
      </c>
      <c r="H485" s="337" t="e">
        <f t="shared" si="231"/>
        <v>#DIV/0!</v>
      </c>
    </row>
    <row r="486" spans="1:8" s="210" customFormat="1" ht="31.5" hidden="1" x14ac:dyDescent="0.25">
      <c r="A486" s="318" t="s">
        <v>1243</v>
      </c>
      <c r="B486" s="319" t="s">
        <v>249</v>
      </c>
      <c r="C486" s="319" t="s">
        <v>230</v>
      </c>
      <c r="D486" s="319" t="s">
        <v>879</v>
      </c>
      <c r="E486" s="347"/>
      <c r="F486" s="4">
        <f>F487</f>
        <v>0</v>
      </c>
      <c r="G486" s="4">
        <f t="shared" ref="G486" si="247">G487</f>
        <v>0</v>
      </c>
      <c r="H486" s="337" t="e">
        <f t="shared" si="231"/>
        <v>#DIV/0!</v>
      </c>
    </row>
    <row r="487" spans="1:8" ht="31.5" hidden="1" x14ac:dyDescent="0.25">
      <c r="A487" s="262" t="s">
        <v>731</v>
      </c>
      <c r="B487" s="347" t="s">
        <v>249</v>
      </c>
      <c r="C487" s="347" t="s">
        <v>230</v>
      </c>
      <c r="D487" s="347" t="s">
        <v>879</v>
      </c>
      <c r="E487" s="347"/>
      <c r="F487" s="337">
        <f t="shared" ref="F487:G488" si="248">F488</f>
        <v>0</v>
      </c>
      <c r="G487" s="337">
        <f t="shared" si="248"/>
        <v>0</v>
      </c>
      <c r="H487" s="337" t="e">
        <f t="shared" si="231"/>
        <v>#DIV/0!</v>
      </c>
    </row>
    <row r="488" spans="1:8" ht="31.5" hidden="1" x14ac:dyDescent="0.25">
      <c r="A488" s="349" t="s">
        <v>146</v>
      </c>
      <c r="B488" s="347" t="s">
        <v>249</v>
      </c>
      <c r="C488" s="347" t="s">
        <v>230</v>
      </c>
      <c r="D488" s="347" t="s">
        <v>879</v>
      </c>
      <c r="E488" s="347" t="s">
        <v>147</v>
      </c>
      <c r="F488" s="337">
        <f t="shared" si="248"/>
        <v>0</v>
      </c>
      <c r="G488" s="337">
        <f t="shared" si="248"/>
        <v>0</v>
      </c>
      <c r="H488" s="337" t="e">
        <f t="shared" si="231"/>
        <v>#DIV/0!</v>
      </c>
    </row>
    <row r="489" spans="1:8" ht="47.25" hidden="1" x14ac:dyDescent="0.25">
      <c r="A489" s="349" t="s">
        <v>148</v>
      </c>
      <c r="B489" s="347" t="s">
        <v>249</v>
      </c>
      <c r="C489" s="347" t="s">
        <v>230</v>
      </c>
      <c r="D489" s="347" t="s">
        <v>879</v>
      </c>
      <c r="E489" s="347" t="s">
        <v>149</v>
      </c>
      <c r="F489" s="337">
        <f>'Пр.4 ведом.20'!G1146</f>
        <v>0</v>
      </c>
      <c r="G489" s="337">
        <f>'Пр.4 ведом.20'!H1146</f>
        <v>0</v>
      </c>
      <c r="H489" s="337" t="e">
        <f t="shared" si="231"/>
        <v>#DIV/0!</v>
      </c>
    </row>
    <row r="490" spans="1:8" ht="31.5" x14ac:dyDescent="0.25">
      <c r="A490" s="41" t="s">
        <v>584</v>
      </c>
      <c r="B490" s="312" t="s">
        <v>249</v>
      </c>
      <c r="C490" s="312" t="s">
        <v>249</v>
      </c>
      <c r="D490" s="312"/>
      <c r="E490" s="312"/>
      <c r="F490" s="4">
        <f>F491+F506+F525</f>
        <v>23713.618200000001</v>
      </c>
      <c r="G490" s="4">
        <f t="shared" ref="G490" si="249">G491+G506+G525</f>
        <v>23662.074999999997</v>
      </c>
      <c r="H490" s="4">
        <f t="shared" si="231"/>
        <v>99.782643038420844</v>
      </c>
    </row>
    <row r="491" spans="1:8" ht="31.5" x14ac:dyDescent="0.25">
      <c r="A491" s="318" t="s">
        <v>988</v>
      </c>
      <c r="B491" s="319" t="s">
        <v>249</v>
      </c>
      <c r="C491" s="319" t="s">
        <v>249</v>
      </c>
      <c r="D491" s="319" t="s">
        <v>902</v>
      </c>
      <c r="E491" s="319"/>
      <c r="F491" s="4">
        <f>F492</f>
        <v>11038.4182</v>
      </c>
      <c r="G491" s="4">
        <f t="shared" ref="G491" si="250">G492</f>
        <v>11036.168</v>
      </c>
      <c r="H491" s="4">
        <f t="shared" si="231"/>
        <v>99.979614832857123</v>
      </c>
    </row>
    <row r="492" spans="1:8" ht="15.75" x14ac:dyDescent="0.25">
      <c r="A492" s="318" t="s">
        <v>989</v>
      </c>
      <c r="B492" s="319" t="s">
        <v>249</v>
      </c>
      <c r="C492" s="319" t="s">
        <v>249</v>
      </c>
      <c r="D492" s="319" t="s">
        <v>903</v>
      </c>
      <c r="E492" s="319"/>
      <c r="F492" s="4">
        <f>F493+F500+F503</f>
        <v>11038.4182</v>
      </c>
      <c r="G492" s="4">
        <f t="shared" ref="G492" si="251">G493+G500+G503</f>
        <v>11036.168</v>
      </c>
      <c r="H492" s="4">
        <f t="shared" si="231"/>
        <v>99.979614832857123</v>
      </c>
    </row>
    <row r="493" spans="1:8" ht="31.5" x14ac:dyDescent="0.25">
      <c r="A493" s="349" t="s">
        <v>965</v>
      </c>
      <c r="B493" s="347" t="s">
        <v>249</v>
      </c>
      <c r="C493" s="347" t="s">
        <v>249</v>
      </c>
      <c r="D493" s="347" t="s">
        <v>904</v>
      </c>
      <c r="E493" s="347"/>
      <c r="F493" s="337">
        <f t="shared" ref="F493" si="252">F494+F496+F498</f>
        <v>10329</v>
      </c>
      <c r="G493" s="337">
        <f t="shared" ref="G493" si="253">G494+G496+G498</f>
        <v>10326.788999999999</v>
      </c>
      <c r="H493" s="337">
        <f t="shared" si="231"/>
        <v>99.978594249201265</v>
      </c>
    </row>
    <row r="494" spans="1:8" ht="81.75" customHeight="1" x14ac:dyDescent="0.25">
      <c r="A494" s="349" t="s">
        <v>142</v>
      </c>
      <c r="B494" s="347" t="s">
        <v>249</v>
      </c>
      <c r="C494" s="347" t="s">
        <v>249</v>
      </c>
      <c r="D494" s="347" t="s">
        <v>904</v>
      </c>
      <c r="E494" s="347" t="s">
        <v>143</v>
      </c>
      <c r="F494" s="293">
        <f t="shared" ref="F494:G494" si="254">F495</f>
        <v>10279.9</v>
      </c>
      <c r="G494" s="293">
        <f t="shared" si="254"/>
        <v>10279.165999999999</v>
      </c>
      <c r="H494" s="337">
        <f t="shared" si="231"/>
        <v>99.992859852722304</v>
      </c>
    </row>
    <row r="495" spans="1:8" ht="31.5" x14ac:dyDescent="0.25">
      <c r="A495" s="349" t="s">
        <v>144</v>
      </c>
      <c r="B495" s="347" t="s">
        <v>249</v>
      </c>
      <c r="C495" s="347" t="s">
        <v>249</v>
      </c>
      <c r="D495" s="347" t="s">
        <v>904</v>
      </c>
      <c r="E495" s="347" t="s">
        <v>145</v>
      </c>
      <c r="F495" s="293">
        <f>'Пр.4 ведом.20'!G1152</f>
        <v>10279.9</v>
      </c>
      <c r="G495" s="293">
        <f>'Пр.4 ведом.20'!H1152</f>
        <v>10279.165999999999</v>
      </c>
      <c r="H495" s="337">
        <f t="shared" si="231"/>
        <v>99.992859852722304</v>
      </c>
    </row>
    <row r="496" spans="1:8" ht="31.5" x14ac:dyDescent="0.25">
      <c r="A496" s="349" t="s">
        <v>146</v>
      </c>
      <c r="B496" s="347" t="s">
        <v>249</v>
      </c>
      <c r="C496" s="347" t="s">
        <v>249</v>
      </c>
      <c r="D496" s="347" t="s">
        <v>904</v>
      </c>
      <c r="E496" s="347" t="s">
        <v>147</v>
      </c>
      <c r="F496" s="293">
        <f t="shared" ref="F496:G496" si="255">F497</f>
        <v>8.9000000000000021</v>
      </c>
      <c r="G496" s="293">
        <f t="shared" si="255"/>
        <v>8.82</v>
      </c>
      <c r="H496" s="337">
        <f t="shared" si="231"/>
        <v>99.101123595505598</v>
      </c>
    </row>
    <row r="497" spans="1:8" ht="47.25" x14ac:dyDescent="0.25">
      <c r="A497" s="349" t="s">
        <v>148</v>
      </c>
      <c r="B497" s="347" t="s">
        <v>249</v>
      </c>
      <c r="C497" s="347" t="s">
        <v>249</v>
      </c>
      <c r="D497" s="347" t="s">
        <v>904</v>
      </c>
      <c r="E497" s="347" t="s">
        <v>149</v>
      </c>
      <c r="F497" s="293">
        <f>'Пр.4 ведом.20'!G1154</f>
        <v>8.9000000000000021</v>
      </c>
      <c r="G497" s="293">
        <f>'Пр.4 ведом.20'!H1154</f>
        <v>8.82</v>
      </c>
      <c r="H497" s="337">
        <f t="shared" si="231"/>
        <v>99.101123595505598</v>
      </c>
    </row>
    <row r="498" spans="1:8" ht="15.75" x14ac:dyDescent="0.25">
      <c r="A498" s="349" t="s">
        <v>150</v>
      </c>
      <c r="B498" s="347" t="s">
        <v>249</v>
      </c>
      <c r="C498" s="347" t="s">
        <v>249</v>
      </c>
      <c r="D498" s="347" t="s">
        <v>904</v>
      </c>
      <c r="E498" s="347" t="s">
        <v>160</v>
      </c>
      <c r="F498" s="293">
        <f t="shared" ref="F498:G498" si="256">F499</f>
        <v>40.200000000000003</v>
      </c>
      <c r="G498" s="293">
        <f t="shared" si="256"/>
        <v>38.802999999999997</v>
      </c>
      <c r="H498" s="337">
        <f t="shared" si="231"/>
        <v>96.524875621890544</v>
      </c>
    </row>
    <row r="499" spans="1:8" ht="15.75" x14ac:dyDescent="0.25">
      <c r="A499" s="349" t="s">
        <v>583</v>
      </c>
      <c r="B499" s="347" t="s">
        <v>249</v>
      </c>
      <c r="C499" s="347" t="s">
        <v>249</v>
      </c>
      <c r="D499" s="347" t="s">
        <v>904</v>
      </c>
      <c r="E499" s="347" t="s">
        <v>153</v>
      </c>
      <c r="F499" s="293">
        <f>'Пр.4 ведом.20'!G1156</f>
        <v>40.200000000000003</v>
      </c>
      <c r="G499" s="293">
        <f>'Пр.4 ведом.20'!H1156</f>
        <v>38.802999999999997</v>
      </c>
      <c r="H499" s="337">
        <f t="shared" si="231"/>
        <v>96.524875621890544</v>
      </c>
    </row>
    <row r="500" spans="1:8" s="210" customFormat="1" ht="47.25" x14ac:dyDescent="0.25">
      <c r="A500" s="349" t="s">
        <v>883</v>
      </c>
      <c r="B500" s="347" t="s">
        <v>249</v>
      </c>
      <c r="C500" s="347" t="s">
        <v>249</v>
      </c>
      <c r="D500" s="347" t="s">
        <v>906</v>
      </c>
      <c r="E500" s="347"/>
      <c r="F500" s="293">
        <f>F501</f>
        <v>607.80000000000007</v>
      </c>
      <c r="G500" s="293">
        <f t="shared" ref="G500:G501" si="257">G501</f>
        <v>607.76099999999997</v>
      </c>
      <c r="H500" s="337">
        <f t="shared" si="231"/>
        <v>99.993583415597215</v>
      </c>
    </row>
    <row r="501" spans="1:8" s="210" customFormat="1" ht="78.75" x14ac:dyDescent="0.25">
      <c r="A501" s="349" t="s">
        <v>142</v>
      </c>
      <c r="B501" s="347" t="s">
        <v>249</v>
      </c>
      <c r="C501" s="347" t="s">
        <v>249</v>
      </c>
      <c r="D501" s="347" t="s">
        <v>906</v>
      </c>
      <c r="E501" s="347" t="s">
        <v>143</v>
      </c>
      <c r="F501" s="293">
        <f>F502</f>
        <v>607.80000000000007</v>
      </c>
      <c r="G501" s="293">
        <f t="shared" si="257"/>
        <v>607.76099999999997</v>
      </c>
      <c r="H501" s="337">
        <f t="shared" si="231"/>
        <v>99.993583415597215</v>
      </c>
    </row>
    <row r="502" spans="1:8" s="210" customFormat="1" ht="31.5" x14ac:dyDescent="0.25">
      <c r="A502" s="349" t="s">
        <v>144</v>
      </c>
      <c r="B502" s="347" t="s">
        <v>249</v>
      </c>
      <c r="C502" s="347" t="s">
        <v>249</v>
      </c>
      <c r="D502" s="347" t="s">
        <v>906</v>
      </c>
      <c r="E502" s="347" t="s">
        <v>145</v>
      </c>
      <c r="F502" s="293">
        <f>'Пр.4 ведом.20'!G1159</f>
        <v>607.80000000000007</v>
      </c>
      <c r="G502" s="293">
        <f>'Пр.4 ведом.20'!H1159</f>
        <v>607.76099999999997</v>
      </c>
      <c r="H502" s="337">
        <f t="shared" si="231"/>
        <v>99.993583415597215</v>
      </c>
    </row>
    <row r="503" spans="1:8" s="345" customFormat="1" ht="31.5" x14ac:dyDescent="0.25">
      <c r="A503" s="349" t="s">
        <v>1582</v>
      </c>
      <c r="B503" s="347" t="s">
        <v>249</v>
      </c>
      <c r="C503" s="347" t="s">
        <v>249</v>
      </c>
      <c r="D503" s="347" t="s">
        <v>1584</v>
      </c>
      <c r="E503" s="347"/>
      <c r="F503" s="293">
        <f>F504</f>
        <v>101.6182</v>
      </c>
      <c r="G503" s="293">
        <f t="shared" ref="G503:G504" si="258">G504</f>
        <v>101.61799999999999</v>
      </c>
      <c r="H503" s="337">
        <f t="shared" si="231"/>
        <v>99.999803184862543</v>
      </c>
    </row>
    <row r="504" spans="1:8" s="345" customFormat="1" ht="78.75" x14ac:dyDescent="0.25">
      <c r="A504" s="349" t="s">
        <v>142</v>
      </c>
      <c r="B504" s="347" t="s">
        <v>249</v>
      </c>
      <c r="C504" s="347" t="s">
        <v>249</v>
      </c>
      <c r="D504" s="347" t="s">
        <v>1584</v>
      </c>
      <c r="E504" s="347" t="s">
        <v>143</v>
      </c>
      <c r="F504" s="293">
        <f>F505</f>
        <v>101.6182</v>
      </c>
      <c r="G504" s="293">
        <f t="shared" si="258"/>
        <v>101.61799999999999</v>
      </c>
      <c r="H504" s="337">
        <f t="shared" si="231"/>
        <v>99.999803184862543</v>
      </c>
    </row>
    <row r="505" spans="1:8" s="345" customFormat="1" ht="31.5" x14ac:dyDescent="0.25">
      <c r="A505" s="349" t="s">
        <v>144</v>
      </c>
      <c r="B505" s="347" t="s">
        <v>249</v>
      </c>
      <c r="C505" s="347" t="s">
        <v>249</v>
      </c>
      <c r="D505" s="347" t="s">
        <v>1584</v>
      </c>
      <c r="E505" s="347" t="s">
        <v>145</v>
      </c>
      <c r="F505" s="293">
        <f>'Пр.4 ведом.20'!G1162</f>
        <v>101.6182</v>
      </c>
      <c r="G505" s="293">
        <f>'Пр.4 ведом.20'!H1162</f>
        <v>101.61799999999999</v>
      </c>
      <c r="H505" s="337">
        <f t="shared" si="231"/>
        <v>99.999803184862543</v>
      </c>
    </row>
    <row r="506" spans="1:8" ht="15.75" x14ac:dyDescent="0.25">
      <c r="A506" s="318" t="s">
        <v>156</v>
      </c>
      <c r="B506" s="319" t="s">
        <v>249</v>
      </c>
      <c r="C506" s="319" t="s">
        <v>249</v>
      </c>
      <c r="D506" s="319" t="s">
        <v>910</v>
      </c>
      <c r="E506" s="319"/>
      <c r="F506" s="4">
        <f>F507+F516</f>
        <v>12667.100000000002</v>
      </c>
      <c r="G506" s="4">
        <f t="shared" ref="G506" si="259">G507+G516</f>
        <v>12617.906999999999</v>
      </c>
      <c r="H506" s="4">
        <f t="shared" si="231"/>
        <v>99.611647496269839</v>
      </c>
    </row>
    <row r="507" spans="1:8" ht="31.5" x14ac:dyDescent="0.25">
      <c r="A507" s="318" t="s">
        <v>914</v>
      </c>
      <c r="B507" s="319" t="s">
        <v>249</v>
      </c>
      <c r="C507" s="319" t="s">
        <v>249</v>
      </c>
      <c r="D507" s="319" t="s">
        <v>909</v>
      </c>
      <c r="E507" s="319"/>
      <c r="F507" s="295">
        <f>F508+F513</f>
        <v>1634.2</v>
      </c>
      <c r="G507" s="295">
        <f t="shared" ref="G507" si="260">G508+G513</f>
        <v>1624.5360000000001</v>
      </c>
      <c r="H507" s="4">
        <f t="shared" si="231"/>
        <v>99.408640313303138</v>
      </c>
    </row>
    <row r="508" spans="1:8" ht="31.5" x14ac:dyDescent="0.25">
      <c r="A508" s="349" t="s">
        <v>585</v>
      </c>
      <c r="B508" s="347" t="s">
        <v>249</v>
      </c>
      <c r="C508" s="347" t="s">
        <v>249</v>
      </c>
      <c r="D508" s="347" t="s">
        <v>1130</v>
      </c>
      <c r="E508" s="347"/>
      <c r="F508" s="293">
        <f>F511+F509</f>
        <v>1634.2</v>
      </c>
      <c r="G508" s="293">
        <f t="shared" ref="G508" si="261">G511+G509</f>
        <v>1624.5360000000001</v>
      </c>
      <c r="H508" s="337">
        <f t="shared" si="231"/>
        <v>99.408640313303138</v>
      </c>
    </row>
    <row r="509" spans="1:8" s="210" customFormat="1" ht="31.5" x14ac:dyDescent="0.25">
      <c r="A509" s="349" t="s">
        <v>146</v>
      </c>
      <c r="B509" s="347" t="s">
        <v>249</v>
      </c>
      <c r="C509" s="347" t="s">
        <v>249</v>
      </c>
      <c r="D509" s="347" t="s">
        <v>1130</v>
      </c>
      <c r="E509" s="347" t="s">
        <v>147</v>
      </c>
      <c r="F509" s="293">
        <f>F510</f>
        <v>480</v>
      </c>
      <c r="G509" s="293">
        <f t="shared" ref="G509" si="262">G510</f>
        <v>480</v>
      </c>
      <c r="H509" s="337">
        <f t="shared" si="231"/>
        <v>100</v>
      </c>
    </row>
    <row r="510" spans="1:8" s="210" customFormat="1" ht="47.25" x14ac:dyDescent="0.25">
      <c r="A510" s="349" t="s">
        <v>148</v>
      </c>
      <c r="B510" s="347" t="s">
        <v>249</v>
      </c>
      <c r="C510" s="347" t="s">
        <v>249</v>
      </c>
      <c r="D510" s="347" t="s">
        <v>1130</v>
      </c>
      <c r="E510" s="347" t="s">
        <v>149</v>
      </c>
      <c r="F510" s="293">
        <f>'Пр.4 ведом.20'!G1167</f>
        <v>480</v>
      </c>
      <c r="G510" s="293">
        <f>'Пр.4 ведом.20'!H1167</f>
        <v>480</v>
      </c>
      <c r="H510" s="337">
        <f t="shared" si="231"/>
        <v>100</v>
      </c>
    </row>
    <row r="511" spans="1:8" ht="15.75" x14ac:dyDescent="0.25">
      <c r="A511" s="349" t="s">
        <v>150</v>
      </c>
      <c r="B511" s="347" t="s">
        <v>249</v>
      </c>
      <c r="C511" s="347" t="s">
        <v>249</v>
      </c>
      <c r="D511" s="347" t="s">
        <v>1130</v>
      </c>
      <c r="E511" s="347" t="s">
        <v>160</v>
      </c>
      <c r="F511" s="293">
        <f>F512</f>
        <v>1154.2</v>
      </c>
      <c r="G511" s="293">
        <f t="shared" ref="G511" si="263">G512</f>
        <v>1144.5360000000001</v>
      </c>
      <c r="H511" s="337">
        <f t="shared" si="231"/>
        <v>99.162710102235323</v>
      </c>
    </row>
    <row r="512" spans="1:8" ht="47.25" x14ac:dyDescent="0.25">
      <c r="A512" s="349" t="s">
        <v>199</v>
      </c>
      <c r="B512" s="347" t="s">
        <v>249</v>
      </c>
      <c r="C512" s="347" t="s">
        <v>249</v>
      </c>
      <c r="D512" s="347" t="s">
        <v>1130</v>
      </c>
      <c r="E512" s="347" t="s">
        <v>175</v>
      </c>
      <c r="F512" s="337">
        <f>'Пр.4 ведом.20'!G1169</f>
        <v>1154.2</v>
      </c>
      <c r="G512" s="337">
        <f>'Пр.4 ведом.20'!H1169</f>
        <v>1144.5360000000001</v>
      </c>
      <c r="H512" s="337">
        <f t="shared" si="231"/>
        <v>99.162710102235323</v>
      </c>
    </row>
    <row r="513" spans="1:8" ht="31.5" hidden="1" x14ac:dyDescent="0.25">
      <c r="A513" s="349" t="s">
        <v>866</v>
      </c>
      <c r="B513" s="347" t="s">
        <v>249</v>
      </c>
      <c r="C513" s="347" t="s">
        <v>249</v>
      </c>
      <c r="D513" s="347" t="s">
        <v>1249</v>
      </c>
      <c r="E513" s="347"/>
      <c r="F513" s="293">
        <f t="shared" ref="F513:G514" si="264">F514</f>
        <v>0</v>
      </c>
      <c r="G513" s="293">
        <f t="shared" si="264"/>
        <v>0</v>
      </c>
      <c r="H513" s="337" t="e">
        <f t="shared" si="231"/>
        <v>#DIV/0!</v>
      </c>
    </row>
    <row r="514" spans="1:8" ht="15.75" hidden="1" x14ac:dyDescent="0.25">
      <c r="A514" s="349" t="s">
        <v>150</v>
      </c>
      <c r="B514" s="347" t="s">
        <v>249</v>
      </c>
      <c r="C514" s="347" t="s">
        <v>249</v>
      </c>
      <c r="D514" s="347" t="s">
        <v>1249</v>
      </c>
      <c r="E514" s="347" t="s">
        <v>160</v>
      </c>
      <c r="F514" s="293">
        <f>F515</f>
        <v>0</v>
      </c>
      <c r="G514" s="293">
        <f t="shared" si="264"/>
        <v>0</v>
      </c>
      <c r="H514" s="337" t="e">
        <f t="shared" si="231"/>
        <v>#DIV/0!</v>
      </c>
    </row>
    <row r="515" spans="1:8" ht="47.25" hidden="1" x14ac:dyDescent="0.25">
      <c r="A515" s="349" t="s">
        <v>199</v>
      </c>
      <c r="B515" s="347" t="s">
        <v>249</v>
      </c>
      <c r="C515" s="347" t="s">
        <v>249</v>
      </c>
      <c r="D515" s="347" t="s">
        <v>1249</v>
      </c>
      <c r="E515" s="347" t="s">
        <v>175</v>
      </c>
      <c r="F515" s="293">
        <f>'Пр.4 ведом.20'!G1172</f>
        <v>0</v>
      </c>
      <c r="G515" s="293">
        <f>'Пр.4 ведом.20'!H1172</f>
        <v>0</v>
      </c>
      <c r="H515" s="337" t="e">
        <f t="shared" si="231"/>
        <v>#DIV/0!</v>
      </c>
    </row>
    <row r="516" spans="1:8" ht="31.5" x14ac:dyDescent="0.25">
      <c r="A516" s="318" t="s">
        <v>1000</v>
      </c>
      <c r="B516" s="319" t="s">
        <v>249</v>
      </c>
      <c r="C516" s="319" t="s">
        <v>249</v>
      </c>
      <c r="D516" s="319" t="s">
        <v>985</v>
      </c>
      <c r="E516" s="319"/>
      <c r="F516" s="295">
        <f>F517+F522</f>
        <v>11032.900000000001</v>
      </c>
      <c r="G516" s="295">
        <f t="shared" ref="G516" si="265">G517+G522</f>
        <v>10993.370999999999</v>
      </c>
      <c r="H516" s="337">
        <f t="shared" si="231"/>
        <v>99.641717046288804</v>
      </c>
    </row>
    <row r="517" spans="1:8" ht="31.5" x14ac:dyDescent="0.25">
      <c r="A517" s="349" t="s">
        <v>972</v>
      </c>
      <c r="B517" s="347" t="s">
        <v>249</v>
      </c>
      <c r="C517" s="347" t="s">
        <v>249</v>
      </c>
      <c r="D517" s="347" t="s">
        <v>986</v>
      </c>
      <c r="E517" s="347"/>
      <c r="F517" s="293">
        <f>F518+F520</f>
        <v>10859.900000000001</v>
      </c>
      <c r="G517" s="293">
        <f t="shared" ref="G517" si="266">G518+G520</f>
        <v>10821.255999999999</v>
      </c>
      <c r="H517" s="337">
        <f t="shared" si="231"/>
        <v>99.644158785992488</v>
      </c>
    </row>
    <row r="518" spans="1:8" ht="78.75" x14ac:dyDescent="0.25">
      <c r="A518" s="349" t="s">
        <v>142</v>
      </c>
      <c r="B518" s="347" t="s">
        <v>249</v>
      </c>
      <c r="C518" s="347" t="s">
        <v>249</v>
      </c>
      <c r="D518" s="347" t="s">
        <v>986</v>
      </c>
      <c r="E518" s="347" t="s">
        <v>143</v>
      </c>
      <c r="F518" s="293">
        <f>F519</f>
        <v>8668.6</v>
      </c>
      <c r="G518" s="293">
        <f t="shared" ref="G518" si="267">G519</f>
        <v>8661.1859999999997</v>
      </c>
      <c r="H518" s="337">
        <f t="shared" si="231"/>
        <v>99.914472925270516</v>
      </c>
    </row>
    <row r="519" spans="1:8" ht="31.5" x14ac:dyDescent="0.25">
      <c r="A519" s="349" t="s">
        <v>357</v>
      </c>
      <c r="B519" s="347" t="s">
        <v>249</v>
      </c>
      <c r="C519" s="347" t="s">
        <v>249</v>
      </c>
      <c r="D519" s="347" t="s">
        <v>986</v>
      </c>
      <c r="E519" s="347" t="s">
        <v>224</v>
      </c>
      <c r="F519" s="293">
        <f>'Пр.4 ведом.20'!G1176</f>
        <v>8668.6</v>
      </c>
      <c r="G519" s="293">
        <f>'Пр.4 ведом.20'!H1176</f>
        <v>8661.1859999999997</v>
      </c>
      <c r="H519" s="337">
        <f t="shared" si="231"/>
        <v>99.914472925270516</v>
      </c>
    </row>
    <row r="520" spans="1:8" s="210" customFormat="1" ht="31.5" x14ac:dyDescent="0.25">
      <c r="A520" s="349" t="s">
        <v>146</v>
      </c>
      <c r="B520" s="347" t="s">
        <v>249</v>
      </c>
      <c r="C520" s="347" t="s">
        <v>249</v>
      </c>
      <c r="D520" s="347" t="s">
        <v>986</v>
      </c>
      <c r="E520" s="347" t="s">
        <v>147</v>
      </c>
      <c r="F520" s="293">
        <f>F521</f>
        <v>2191.3000000000006</v>
      </c>
      <c r="G520" s="293">
        <f t="shared" ref="G520" si="268">G521</f>
        <v>2160.0700000000002</v>
      </c>
      <c r="H520" s="337">
        <f t="shared" si="231"/>
        <v>98.57481860083054</v>
      </c>
    </row>
    <row r="521" spans="1:8" s="210" customFormat="1" ht="47.25" x14ac:dyDescent="0.25">
      <c r="A521" s="349" t="s">
        <v>148</v>
      </c>
      <c r="B521" s="347" t="s">
        <v>249</v>
      </c>
      <c r="C521" s="347" t="s">
        <v>249</v>
      </c>
      <c r="D521" s="347" t="s">
        <v>986</v>
      </c>
      <c r="E521" s="347" t="s">
        <v>149</v>
      </c>
      <c r="F521" s="293">
        <f>'Пр.4 ведом.20'!G1178</f>
        <v>2191.3000000000006</v>
      </c>
      <c r="G521" s="293">
        <f>'Пр.4 ведом.20'!H1178</f>
        <v>2160.0700000000002</v>
      </c>
      <c r="H521" s="337">
        <f t="shared" ref="H521:H584" si="269">G521/F521*100</f>
        <v>98.57481860083054</v>
      </c>
    </row>
    <row r="522" spans="1:8" s="210" customFormat="1" ht="47.25" x14ac:dyDescent="0.25">
      <c r="A522" s="349" t="s">
        <v>883</v>
      </c>
      <c r="B522" s="347" t="s">
        <v>249</v>
      </c>
      <c r="C522" s="347" t="s">
        <v>249</v>
      </c>
      <c r="D522" s="347" t="s">
        <v>987</v>
      </c>
      <c r="E522" s="347"/>
      <c r="F522" s="293">
        <f>F523</f>
        <v>173</v>
      </c>
      <c r="G522" s="293">
        <f t="shared" ref="G522:G523" si="270">G523</f>
        <v>172.11500000000001</v>
      </c>
      <c r="H522" s="337">
        <f t="shared" si="269"/>
        <v>99.488439306358387</v>
      </c>
    </row>
    <row r="523" spans="1:8" s="210" customFormat="1" ht="78.75" x14ac:dyDescent="0.25">
      <c r="A523" s="349" t="s">
        <v>142</v>
      </c>
      <c r="B523" s="347" t="s">
        <v>249</v>
      </c>
      <c r="C523" s="347" t="s">
        <v>249</v>
      </c>
      <c r="D523" s="347" t="s">
        <v>987</v>
      </c>
      <c r="E523" s="347" t="s">
        <v>143</v>
      </c>
      <c r="F523" s="293">
        <f>F524</f>
        <v>173</v>
      </c>
      <c r="G523" s="293">
        <f t="shared" si="270"/>
        <v>172.11500000000001</v>
      </c>
      <c r="H523" s="337">
        <f t="shared" si="269"/>
        <v>99.488439306358387</v>
      </c>
    </row>
    <row r="524" spans="1:8" s="210" customFormat="1" ht="31.5" x14ac:dyDescent="0.25">
      <c r="A524" s="349" t="s">
        <v>144</v>
      </c>
      <c r="B524" s="347" t="s">
        <v>249</v>
      </c>
      <c r="C524" s="347" t="s">
        <v>249</v>
      </c>
      <c r="D524" s="347" t="s">
        <v>987</v>
      </c>
      <c r="E524" s="347" t="s">
        <v>145</v>
      </c>
      <c r="F524" s="293">
        <f>'Пр.4 ведом.20'!G1181</f>
        <v>173</v>
      </c>
      <c r="G524" s="293">
        <f>'Пр.4 ведом.20'!H1181</f>
        <v>172.11500000000001</v>
      </c>
      <c r="H524" s="337">
        <f t="shared" si="269"/>
        <v>99.488439306358387</v>
      </c>
    </row>
    <row r="525" spans="1:8" s="210" customFormat="1" ht="63" x14ac:dyDescent="0.25">
      <c r="A525" s="34" t="s">
        <v>803</v>
      </c>
      <c r="B525" s="319" t="s">
        <v>249</v>
      </c>
      <c r="C525" s="319" t="s">
        <v>249</v>
      </c>
      <c r="D525" s="319" t="s">
        <v>339</v>
      </c>
      <c r="E525" s="319"/>
      <c r="F525" s="317">
        <f>F526</f>
        <v>8.1000000000000014</v>
      </c>
      <c r="G525" s="317">
        <f t="shared" ref="G525:G528" si="271">G526</f>
        <v>8</v>
      </c>
      <c r="H525" s="4">
        <f t="shared" si="269"/>
        <v>98.765432098765416</v>
      </c>
    </row>
    <row r="526" spans="1:8" s="210" customFormat="1" ht="63" x14ac:dyDescent="0.25">
      <c r="A526" s="34" t="s">
        <v>1160</v>
      </c>
      <c r="B526" s="319" t="s">
        <v>249</v>
      </c>
      <c r="C526" s="319" t="s">
        <v>249</v>
      </c>
      <c r="D526" s="319" t="s">
        <v>1023</v>
      </c>
      <c r="E526" s="319"/>
      <c r="F526" s="317">
        <f>F527</f>
        <v>8.1000000000000014</v>
      </c>
      <c r="G526" s="317">
        <f t="shared" si="271"/>
        <v>8</v>
      </c>
      <c r="H526" s="4">
        <f t="shared" si="269"/>
        <v>98.765432098765416</v>
      </c>
    </row>
    <row r="527" spans="1:8" s="210" customFormat="1" ht="47.25" x14ac:dyDescent="0.25">
      <c r="A527" s="31" t="s">
        <v>1271</v>
      </c>
      <c r="B527" s="347" t="s">
        <v>249</v>
      </c>
      <c r="C527" s="347" t="s">
        <v>249</v>
      </c>
      <c r="D527" s="347" t="s">
        <v>1190</v>
      </c>
      <c r="E527" s="347"/>
      <c r="F527" s="321">
        <f>F528</f>
        <v>8.1000000000000014</v>
      </c>
      <c r="G527" s="321">
        <f t="shared" si="271"/>
        <v>8</v>
      </c>
      <c r="H527" s="337">
        <f t="shared" si="269"/>
        <v>98.765432098765416</v>
      </c>
    </row>
    <row r="528" spans="1:8" s="210" customFormat="1" ht="31.5" x14ac:dyDescent="0.25">
      <c r="A528" s="349" t="s">
        <v>146</v>
      </c>
      <c r="B528" s="347" t="s">
        <v>249</v>
      </c>
      <c r="C528" s="347" t="s">
        <v>249</v>
      </c>
      <c r="D528" s="347" t="s">
        <v>1190</v>
      </c>
      <c r="E528" s="347" t="s">
        <v>147</v>
      </c>
      <c r="F528" s="321">
        <f>F529</f>
        <v>8.1000000000000014</v>
      </c>
      <c r="G528" s="321">
        <f t="shared" si="271"/>
        <v>8</v>
      </c>
      <c r="H528" s="337">
        <f t="shared" si="269"/>
        <v>98.765432098765416</v>
      </c>
    </row>
    <row r="529" spans="1:8" s="210" customFormat="1" ht="47.25" x14ac:dyDescent="0.25">
      <c r="A529" s="349" t="s">
        <v>148</v>
      </c>
      <c r="B529" s="347" t="s">
        <v>249</v>
      </c>
      <c r="C529" s="347" t="s">
        <v>249</v>
      </c>
      <c r="D529" s="347" t="s">
        <v>1190</v>
      </c>
      <c r="E529" s="347" t="s">
        <v>149</v>
      </c>
      <c r="F529" s="321">
        <f>'Пр.4 ведом.20'!G1186</f>
        <v>8.1000000000000014</v>
      </c>
      <c r="G529" s="321">
        <f>'Пр.4 ведом.20'!H1186</f>
        <v>8</v>
      </c>
      <c r="H529" s="337">
        <f t="shared" si="269"/>
        <v>98.765432098765416</v>
      </c>
    </row>
    <row r="530" spans="1:8" ht="15.75" x14ac:dyDescent="0.25">
      <c r="A530" s="41" t="s">
        <v>278</v>
      </c>
      <c r="B530" s="312" t="s">
        <v>279</v>
      </c>
      <c r="C530" s="324"/>
      <c r="D530" s="324"/>
      <c r="E530" s="324"/>
      <c r="F530" s="4">
        <f>F531+F602+F823+F717+F794</f>
        <v>373477.53074999998</v>
      </c>
      <c r="G530" s="4">
        <f t="shared" ref="G530" si="272">G531+G602+G823+G717+G794</f>
        <v>352509.84426999994</v>
      </c>
      <c r="H530" s="4">
        <f t="shared" si="269"/>
        <v>94.38582384383507</v>
      </c>
    </row>
    <row r="531" spans="1:8" ht="15.75" x14ac:dyDescent="0.25">
      <c r="A531" s="41" t="s">
        <v>419</v>
      </c>
      <c r="B531" s="312" t="s">
        <v>279</v>
      </c>
      <c r="C531" s="312" t="s">
        <v>133</v>
      </c>
      <c r="D531" s="312"/>
      <c r="E531" s="312"/>
      <c r="F531" s="4">
        <f>F532+F585+F597</f>
        <v>110586.476</v>
      </c>
      <c r="G531" s="4">
        <f t="shared" ref="G531" si="273">G532+G585+G597</f>
        <v>101800.27149000001</v>
      </c>
      <c r="H531" s="4">
        <f t="shared" si="269"/>
        <v>92.054901442017211</v>
      </c>
    </row>
    <row r="532" spans="1:8" ht="47.25" x14ac:dyDescent="0.25">
      <c r="A532" s="318" t="s">
        <v>420</v>
      </c>
      <c r="B532" s="319" t="s">
        <v>279</v>
      </c>
      <c r="C532" s="319" t="s">
        <v>133</v>
      </c>
      <c r="D532" s="319" t="s">
        <v>421</v>
      </c>
      <c r="E532" s="319"/>
      <c r="F532" s="4">
        <f>F533+F557</f>
        <v>110028.17599999999</v>
      </c>
      <c r="G532" s="4">
        <f t="shared" ref="G532" si="274">G533+G557</f>
        <v>101252.21589000001</v>
      </c>
      <c r="H532" s="4">
        <f t="shared" si="269"/>
        <v>92.023897487858036</v>
      </c>
    </row>
    <row r="533" spans="1:8" ht="35.450000000000003" customHeight="1" x14ac:dyDescent="0.25">
      <c r="A533" s="318" t="s">
        <v>422</v>
      </c>
      <c r="B533" s="319" t="s">
        <v>279</v>
      </c>
      <c r="C533" s="319" t="s">
        <v>133</v>
      </c>
      <c r="D533" s="319" t="s">
        <v>423</v>
      </c>
      <c r="E533" s="319"/>
      <c r="F533" s="4">
        <f>F534+F541</f>
        <v>99706.069999999992</v>
      </c>
      <c r="G533" s="4">
        <f t="shared" ref="G533" si="275">G534+G541</f>
        <v>92955.133700000006</v>
      </c>
      <c r="H533" s="4">
        <f t="shared" si="269"/>
        <v>93.22916217638506</v>
      </c>
    </row>
    <row r="534" spans="1:8" s="210" customFormat="1" ht="31.5" x14ac:dyDescent="0.25">
      <c r="A534" s="318" t="s">
        <v>1026</v>
      </c>
      <c r="B534" s="319" t="s">
        <v>279</v>
      </c>
      <c r="C534" s="319" t="s">
        <v>133</v>
      </c>
      <c r="D534" s="319" t="s">
        <v>1004</v>
      </c>
      <c r="E534" s="319"/>
      <c r="F534" s="4">
        <f>F535+F538</f>
        <v>13348.969999999998</v>
      </c>
      <c r="G534" s="4">
        <f t="shared" ref="G534" si="276">G535+G538</f>
        <v>13316.200670000002</v>
      </c>
      <c r="H534" s="4">
        <f t="shared" si="269"/>
        <v>99.754517914116263</v>
      </c>
    </row>
    <row r="535" spans="1:8" ht="52.5" customHeight="1" x14ac:dyDescent="0.25">
      <c r="A535" s="349" t="s">
        <v>1061</v>
      </c>
      <c r="B535" s="347" t="s">
        <v>279</v>
      </c>
      <c r="C535" s="347" t="s">
        <v>133</v>
      </c>
      <c r="D535" s="347" t="s">
        <v>1060</v>
      </c>
      <c r="E535" s="347"/>
      <c r="F535" s="337">
        <f>F536</f>
        <v>9226.4039999999986</v>
      </c>
      <c r="G535" s="337">
        <f t="shared" ref="G535:G536" si="277">G536</f>
        <v>9202.5040000000008</v>
      </c>
      <c r="H535" s="337">
        <f t="shared" si="269"/>
        <v>99.740960833711625</v>
      </c>
    </row>
    <row r="536" spans="1:8" ht="40.700000000000003" customHeight="1" x14ac:dyDescent="0.25">
      <c r="A536" s="349" t="s">
        <v>287</v>
      </c>
      <c r="B536" s="347" t="s">
        <v>279</v>
      </c>
      <c r="C536" s="347" t="s">
        <v>133</v>
      </c>
      <c r="D536" s="347" t="s">
        <v>1060</v>
      </c>
      <c r="E536" s="347" t="s">
        <v>288</v>
      </c>
      <c r="F536" s="337">
        <f>F537</f>
        <v>9226.4039999999986</v>
      </c>
      <c r="G536" s="337">
        <f t="shared" si="277"/>
        <v>9202.5040000000008</v>
      </c>
      <c r="H536" s="337">
        <f t="shared" si="269"/>
        <v>99.740960833711625</v>
      </c>
    </row>
    <row r="537" spans="1:8" ht="15.75" x14ac:dyDescent="0.25">
      <c r="A537" s="349" t="s">
        <v>289</v>
      </c>
      <c r="B537" s="347" t="s">
        <v>279</v>
      </c>
      <c r="C537" s="347" t="s">
        <v>133</v>
      </c>
      <c r="D537" s="347" t="s">
        <v>1060</v>
      </c>
      <c r="E537" s="347" t="s">
        <v>290</v>
      </c>
      <c r="F537" s="293">
        <f>'Пр.4 ведом.20'!G592</f>
        <v>9226.4039999999986</v>
      </c>
      <c r="G537" s="293">
        <f>'Пр.4 ведом.20'!H592</f>
        <v>9202.5040000000008</v>
      </c>
      <c r="H537" s="337">
        <f t="shared" si="269"/>
        <v>99.740960833711625</v>
      </c>
    </row>
    <row r="538" spans="1:8" s="210" customFormat="1" ht="51" customHeight="1" x14ac:dyDescent="0.25">
      <c r="A538" s="349" t="s">
        <v>1236</v>
      </c>
      <c r="B538" s="347" t="s">
        <v>279</v>
      </c>
      <c r="C538" s="347" t="s">
        <v>133</v>
      </c>
      <c r="D538" s="347" t="s">
        <v>1062</v>
      </c>
      <c r="E538" s="347"/>
      <c r="F538" s="293">
        <f>F539</f>
        <v>4122.5659999999998</v>
      </c>
      <c r="G538" s="293">
        <f t="shared" ref="G538:G539" si="278">G539</f>
        <v>4113.6966700000003</v>
      </c>
      <c r="H538" s="337">
        <f t="shared" si="269"/>
        <v>99.784858993161066</v>
      </c>
    </row>
    <row r="539" spans="1:8" s="210" customFormat="1" ht="31.5" x14ac:dyDescent="0.25">
      <c r="A539" s="349" t="s">
        <v>287</v>
      </c>
      <c r="B539" s="347" t="s">
        <v>279</v>
      </c>
      <c r="C539" s="347" t="s">
        <v>133</v>
      </c>
      <c r="D539" s="347" t="s">
        <v>1062</v>
      </c>
      <c r="E539" s="347" t="s">
        <v>288</v>
      </c>
      <c r="F539" s="293">
        <f>F540</f>
        <v>4122.5659999999998</v>
      </c>
      <c r="G539" s="293">
        <f t="shared" si="278"/>
        <v>4113.6966700000003</v>
      </c>
      <c r="H539" s="337">
        <f t="shared" si="269"/>
        <v>99.784858993161066</v>
      </c>
    </row>
    <row r="540" spans="1:8" s="210" customFormat="1" ht="15.75" x14ac:dyDescent="0.25">
      <c r="A540" s="349" t="s">
        <v>289</v>
      </c>
      <c r="B540" s="347" t="s">
        <v>279</v>
      </c>
      <c r="C540" s="347" t="s">
        <v>133</v>
      </c>
      <c r="D540" s="347" t="s">
        <v>1062</v>
      </c>
      <c r="E540" s="347" t="s">
        <v>290</v>
      </c>
      <c r="F540" s="293">
        <f>'Пр.4 ведом.20'!G595</f>
        <v>4122.5659999999998</v>
      </c>
      <c r="G540" s="293">
        <f>'Пр.4 ведом.20'!H595</f>
        <v>4113.6966700000003</v>
      </c>
      <c r="H540" s="337">
        <f t="shared" si="269"/>
        <v>99.784858993161066</v>
      </c>
    </row>
    <row r="541" spans="1:8" ht="47.25" x14ac:dyDescent="0.25">
      <c r="A541" s="318" t="s">
        <v>969</v>
      </c>
      <c r="B541" s="319" t="s">
        <v>279</v>
      </c>
      <c r="C541" s="319" t="s">
        <v>133</v>
      </c>
      <c r="D541" s="319" t="s">
        <v>1019</v>
      </c>
      <c r="E541" s="319"/>
      <c r="F541" s="4">
        <f>F545+F548+F551+F554+F542</f>
        <v>86357.099999999991</v>
      </c>
      <c r="G541" s="4">
        <f t="shared" ref="G541" si="279">G545+G548+G551+G554+G542</f>
        <v>79638.93303</v>
      </c>
      <c r="H541" s="4">
        <f t="shared" si="269"/>
        <v>92.220481037459578</v>
      </c>
    </row>
    <row r="542" spans="1:8" s="309" customFormat="1" ht="94.5" x14ac:dyDescent="0.25">
      <c r="A542" s="31" t="s">
        <v>308</v>
      </c>
      <c r="B542" s="347" t="s">
        <v>279</v>
      </c>
      <c r="C542" s="347" t="s">
        <v>133</v>
      </c>
      <c r="D542" s="347" t="s">
        <v>1507</v>
      </c>
      <c r="E542" s="347"/>
      <c r="F542" s="337">
        <f>F543</f>
        <v>2482.6999999999998</v>
      </c>
      <c r="G542" s="337">
        <f t="shared" ref="G542:G543" si="280">G543</f>
        <v>2482.6999999999998</v>
      </c>
      <c r="H542" s="337">
        <f t="shared" si="269"/>
        <v>100</v>
      </c>
    </row>
    <row r="543" spans="1:8" s="309" customFormat="1" ht="31.5" x14ac:dyDescent="0.25">
      <c r="A543" s="349" t="s">
        <v>287</v>
      </c>
      <c r="B543" s="347" t="s">
        <v>279</v>
      </c>
      <c r="C543" s="347" t="s">
        <v>133</v>
      </c>
      <c r="D543" s="347" t="s">
        <v>1507</v>
      </c>
      <c r="E543" s="347" t="s">
        <v>288</v>
      </c>
      <c r="F543" s="337">
        <f>F544</f>
        <v>2482.6999999999998</v>
      </c>
      <c r="G543" s="337">
        <f t="shared" si="280"/>
        <v>2482.6999999999998</v>
      </c>
      <c r="H543" s="337">
        <f t="shared" si="269"/>
        <v>100</v>
      </c>
    </row>
    <row r="544" spans="1:8" s="309" customFormat="1" ht="15.75" x14ac:dyDescent="0.25">
      <c r="A544" s="349" t="s">
        <v>289</v>
      </c>
      <c r="B544" s="347" t="s">
        <v>279</v>
      </c>
      <c r="C544" s="347" t="s">
        <v>133</v>
      </c>
      <c r="D544" s="347" t="s">
        <v>1507</v>
      </c>
      <c r="E544" s="347" t="s">
        <v>290</v>
      </c>
      <c r="F544" s="337">
        <f>'Пр.4 ведом.20'!G599</f>
        <v>2482.6999999999998</v>
      </c>
      <c r="G544" s="337">
        <f>'Пр.4 ведом.20'!H599</f>
        <v>2482.6999999999998</v>
      </c>
      <c r="H544" s="337">
        <f t="shared" si="269"/>
        <v>100</v>
      </c>
    </row>
    <row r="545" spans="1:8" ht="47.25" customHeight="1" x14ac:dyDescent="0.25">
      <c r="A545" s="31" t="s">
        <v>304</v>
      </c>
      <c r="B545" s="347" t="s">
        <v>279</v>
      </c>
      <c r="C545" s="347" t="s">
        <v>133</v>
      </c>
      <c r="D545" s="347" t="s">
        <v>1018</v>
      </c>
      <c r="E545" s="347"/>
      <c r="F545" s="337">
        <f t="shared" ref="F545:G546" si="281">F546</f>
        <v>559.70000000000005</v>
      </c>
      <c r="G545" s="337">
        <f t="shared" si="281"/>
        <v>391.11741999999998</v>
      </c>
      <c r="H545" s="337">
        <f t="shared" si="269"/>
        <v>69.879832052885462</v>
      </c>
    </row>
    <row r="546" spans="1:8" ht="39.75" customHeight="1" x14ac:dyDescent="0.25">
      <c r="A546" s="349" t="s">
        <v>287</v>
      </c>
      <c r="B546" s="347" t="s">
        <v>279</v>
      </c>
      <c r="C546" s="347" t="s">
        <v>133</v>
      </c>
      <c r="D546" s="347" t="s">
        <v>1018</v>
      </c>
      <c r="E546" s="347" t="s">
        <v>288</v>
      </c>
      <c r="F546" s="337">
        <f t="shared" si="281"/>
        <v>559.70000000000005</v>
      </c>
      <c r="G546" s="337">
        <f t="shared" si="281"/>
        <v>391.11741999999998</v>
      </c>
      <c r="H546" s="337">
        <f t="shared" si="269"/>
        <v>69.879832052885462</v>
      </c>
    </row>
    <row r="547" spans="1:8" ht="15.75" customHeight="1" x14ac:dyDescent="0.25">
      <c r="A547" s="349" t="s">
        <v>289</v>
      </c>
      <c r="B547" s="347" t="s">
        <v>279</v>
      </c>
      <c r="C547" s="347" t="s">
        <v>133</v>
      </c>
      <c r="D547" s="347" t="s">
        <v>1018</v>
      </c>
      <c r="E547" s="347" t="s">
        <v>290</v>
      </c>
      <c r="F547" s="337">
        <f>'Пр.4 ведом.20'!G602</f>
        <v>559.70000000000005</v>
      </c>
      <c r="G547" s="337">
        <f>'Пр.4 ведом.20'!H602</f>
        <v>391.11741999999998</v>
      </c>
      <c r="H547" s="337">
        <f t="shared" si="269"/>
        <v>69.879832052885462</v>
      </c>
    </row>
    <row r="548" spans="1:8" ht="71.45" customHeight="1" x14ac:dyDescent="0.25">
      <c r="A548" s="31" t="s">
        <v>306</v>
      </c>
      <c r="B548" s="347" t="s">
        <v>279</v>
      </c>
      <c r="C548" s="347" t="s">
        <v>133</v>
      </c>
      <c r="D548" s="347" t="s">
        <v>1021</v>
      </c>
      <c r="E548" s="347"/>
      <c r="F548" s="337">
        <f t="shared" ref="F548:G549" si="282">F549</f>
        <v>1629.3</v>
      </c>
      <c r="G548" s="337">
        <f t="shared" si="282"/>
        <v>1191.49667</v>
      </c>
      <c r="H548" s="337">
        <f t="shared" si="269"/>
        <v>73.129360461547904</v>
      </c>
    </row>
    <row r="549" spans="1:8" ht="47.25" customHeight="1" x14ac:dyDescent="0.25">
      <c r="A549" s="349" t="s">
        <v>287</v>
      </c>
      <c r="B549" s="347" t="s">
        <v>279</v>
      </c>
      <c r="C549" s="347" t="s">
        <v>133</v>
      </c>
      <c r="D549" s="347" t="s">
        <v>1021</v>
      </c>
      <c r="E549" s="347" t="s">
        <v>288</v>
      </c>
      <c r="F549" s="337">
        <f t="shared" si="282"/>
        <v>1629.3</v>
      </c>
      <c r="G549" s="337">
        <f t="shared" si="282"/>
        <v>1191.49667</v>
      </c>
      <c r="H549" s="337">
        <f t="shared" si="269"/>
        <v>73.129360461547904</v>
      </c>
    </row>
    <row r="550" spans="1:8" ht="15.75" customHeight="1" x14ac:dyDescent="0.25">
      <c r="A550" s="349" t="s">
        <v>289</v>
      </c>
      <c r="B550" s="347" t="s">
        <v>279</v>
      </c>
      <c r="C550" s="347" t="s">
        <v>133</v>
      </c>
      <c r="D550" s="347" t="s">
        <v>1021</v>
      </c>
      <c r="E550" s="347" t="s">
        <v>290</v>
      </c>
      <c r="F550" s="337">
        <f>'Пр.4 ведом.20'!G605</f>
        <v>1629.3</v>
      </c>
      <c r="G550" s="337">
        <f>'Пр.4 ведом.20'!H605</f>
        <v>1191.49667</v>
      </c>
      <c r="H550" s="337">
        <f t="shared" si="269"/>
        <v>73.129360461547904</v>
      </c>
    </row>
    <row r="551" spans="1:8" ht="94.5" x14ac:dyDescent="0.25">
      <c r="A551" s="31" t="s">
        <v>1448</v>
      </c>
      <c r="B551" s="347" t="s">
        <v>279</v>
      </c>
      <c r="C551" s="347" t="s">
        <v>133</v>
      </c>
      <c r="D551" s="347" t="s">
        <v>1020</v>
      </c>
      <c r="E551" s="347"/>
      <c r="F551" s="337">
        <f t="shared" ref="F551:G552" si="283">F552</f>
        <v>80735.399999999994</v>
      </c>
      <c r="G551" s="337">
        <f t="shared" si="283"/>
        <v>74623.61894</v>
      </c>
      <c r="H551" s="337">
        <f t="shared" si="269"/>
        <v>92.429862167029583</v>
      </c>
    </row>
    <row r="552" spans="1:8" ht="31.5" x14ac:dyDescent="0.25">
      <c r="A552" s="349" t="s">
        <v>287</v>
      </c>
      <c r="B552" s="347" t="s">
        <v>279</v>
      </c>
      <c r="C552" s="347" t="s">
        <v>133</v>
      </c>
      <c r="D552" s="347" t="s">
        <v>1020</v>
      </c>
      <c r="E552" s="347" t="s">
        <v>288</v>
      </c>
      <c r="F552" s="337">
        <f t="shared" si="283"/>
        <v>80735.399999999994</v>
      </c>
      <c r="G552" s="337">
        <f t="shared" si="283"/>
        <v>74623.61894</v>
      </c>
      <c r="H552" s="337">
        <f t="shared" si="269"/>
        <v>92.429862167029583</v>
      </c>
    </row>
    <row r="553" spans="1:8" ht="15.75" x14ac:dyDescent="0.25">
      <c r="A553" s="349" t="s">
        <v>289</v>
      </c>
      <c r="B553" s="347" t="s">
        <v>279</v>
      </c>
      <c r="C553" s="347" t="s">
        <v>133</v>
      </c>
      <c r="D553" s="347" t="s">
        <v>1020</v>
      </c>
      <c r="E553" s="347" t="s">
        <v>290</v>
      </c>
      <c r="F553" s="337">
        <f>'Пр.4 ведом.20'!G608</f>
        <v>80735.399999999994</v>
      </c>
      <c r="G553" s="337">
        <f>'Пр.4 ведом.20'!H608</f>
        <v>74623.61894</v>
      </c>
      <c r="H553" s="337">
        <f t="shared" si="269"/>
        <v>92.429862167029583</v>
      </c>
    </row>
    <row r="554" spans="1:8" ht="94.5" x14ac:dyDescent="0.25">
      <c r="A554" s="31" t="s">
        <v>308</v>
      </c>
      <c r="B554" s="347" t="s">
        <v>279</v>
      </c>
      <c r="C554" s="347" t="s">
        <v>133</v>
      </c>
      <c r="D554" s="347" t="s">
        <v>1022</v>
      </c>
      <c r="E554" s="347"/>
      <c r="F554" s="337">
        <f t="shared" ref="F554:G555" si="284">F555</f>
        <v>950.00000000000045</v>
      </c>
      <c r="G554" s="337">
        <f t="shared" si="284"/>
        <v>950</v>
      </c>
      <c r="H554" s="337">
        <f t="shared" si="269"/>
        <v>99.999999999999957</v>
      </c>
    </row>
    <row r="555" spans="1:8" ht="31.5" x14ac:dyDescent="0.25">
      <c r="A555" s="349" t="s">
        <v>287</v>
      </c>
      <c r="B555" s="347" t="s">
        <v>279</v>
      </c>
      <c r="C555" s="347" t="s">
        <v>133</v>
      </c>
      <c r="D555" s="347" t="s">
        <v>1022</v>
      </c>
      <c r="E555" s="347" t="s">
        <v>288</v>
      </c>
      <c r="F555" s="337">
        <f t="shared" si="284"/>
        <v>950.00000000000045</v>
      </c>
      <c r="G555" s="337">
        <f t="shared" si="284"/>
        <v>950</v>
      </c>
      <c r="H555" s="337">
        <f t="shared" si="269"/>
        <v>99.999999999999957</v>
      </c>
    </row>
    <row r="556" spans="1:8" ht="15.75" x14ac:dyDescent="0.25">
      <c r="A556" s="349" t="s">
        <v>289</v>
      </c>
      <c r="B556" s="347" t="s">
        <v>279</v>
      </c>
      <c r="C556" s="347" t="s">
        <v>133</v>
      </c>
      <c r="D556" s="347" t="s">
        <v>1022</v>
      </c>
      <c r="E556" s="347" t="s">
        <v>290</v>
      </c>
      <c r="F556" s="337">
        <f>'Пр.4 ведом.20'!G611</f>
        <v>950.00000000000045</v>
      </c>
      <c r="G556" s="337">
        <f>'Пр.4 ведом.20'!H611</f>
        <v>950</v>
      </c>
      <c r="H556" s="337">
        <f t="shared" si="269"/>
        <v>99.999999999999957</v>
      </c>
    </row>
    <row r="557" spans="1:8" ht="31.7" customHeight="1" x14ac:dyDescent="0.25">
      <c r="A557" s="318" t="s">
        <v>426</v>
      </c>
      <c r="B557" s="319" t="s">
        <v>279</v>
      </c>
      <c r="C557" s="319" t="s">
        <v>133</v>
      </c>
      <c r="D557" s="319" t="s">
        <v>427</v>
      </c>
      <c r="E557" s="319"/>
      <c r="F557" s="4">
        <f>F558+F568+F578+F590</f>
        <v>10322.106</v>
      </c>
      <c r="G557" s="4">
        <f t="shared" ref="G557" si="285">G558+G568+G578+G590</f>
        <v>8297.0821899999992</v>
      </c>
      <c r="H557" s="4">
        <f t="shared" si="269"/>
        <v>80.381679765737729</v>
      </c>
    </row>
    <row r="558" spans="1:8" ht="36" customHeight="1" x14ac:dyDescent="0.25">
      <c r="A558" s="318" t="s">
        <v>1005</v>
      </c>
      <c r="B558" s="319" t="s">
        <v>279</v>
      </c>
      <c r="C558" s="319" t="s">
        <v>133</v>
      </c>
      <c r="D558" s="319" t="s">
        <v>1006</v>
      </c>
      <c r="E558" s="319"/>
      <c r="F558" s="4">
        <f>F559+F562+F565</f>
        <v>4184.2160000000003</v>
      </c>
      <c r="G558" s="4">
        <f t="shared" ref="G558" si="286">G559+G562+G565</f>
        <v>4184.1282700000002</v>
      </c>
      <c r="H558" s="4">
        <f t="shared" si="269"/>
        <v>99.997903310918929</v>
      </c>
    </row>
    <row r="559" spans="1:8" ht="40.700000000000003" customHeight="1" x14ac:dyDescent="0.25">
      <c r="A559" s="349" t="s">
        <v>293</v>
      </c>
      <c r="B559" s="347" t="s">
        <v>279</v>
      </c>
      <c r="C559" s="347" t="s">
        <v>133</v>
      </c>
      <c r="D559" s="347" t="s">
        <v>1007</v>
      </c>
      <c r="E559" s="347"/>
      <c r="F559" s="337">
        <f>F560</f>
        <v>474</v>
      </c>
      <c r="G559" s="337">
        <f t="shared" ref="G559" si="287">G560</f>
        <v>473.99592999999999</v>
      </c>
      <c r="H559" s="337">
        <f t="shared" si="269"/>
        <v>99.999141350210962</v>
      </c>
    </row>
    <row r="560" spans="1:8" ht="42" customHeight="1" x14ac:dyDescent="0.25">
      <c r="A560" s="349" t="s">
        <v>287</v>
      </c>
      <c r="B560" s="347" t="s">
        <v>279</v>
      </c>
      <c r="C560" s="347" t="s">
        <v>133</v>
      </c>
      <c r="D560" s="347" t="s">
        <v>1007</v>
      </c>
      <c r="E560" s="347" t="s">
        <v>288</v>
      </c>
      <c r="F560" s="337">
        <f t="shared" ref="F560:G560" si="288">F561</f>
        <v>474</v>
      </c>
      <c r="G560" s="337">
        <f t="shared" si="288"/>
        <v>473.99592999999999</v>
      </c>
      <c r="H560" s="337">
        <f t="shared" si="269"/>
        <v>99.999141350210962</v>
      </c>
    </row>
    <row r="561" spans="1:8" ht="20.25" customHeight="1" x14ac:dyDescent="0.25">
      <c r="A561" s="349" t="s">
        <v>289</v>
      </c>
      <c r="B561" s="347" t="s">
        <v>279</v>
      </c>
      <c r="C561" s="347" t="s">
        <v>133</v>
      </c>
      <c r="D561" s="347" t="s">
        <v>1007</v>
      </c>
      <c r="E561" s="347" t="s">
        <v>290</v>
      </c>
      <c r="F561" s="337">
        <f>'Пр.4 ведом.20'!G616</f>
        <v>474</v>
      </c>
      <c r="G561" s="337">
        <f>'Пр.4 ведом.20'!H616</f>
        <v>473.99592999999999</v>
      </c>
      <c r="H561" s="337">
        <f t="shared" si="269"/>
        <v>99.999141350210962</v>
      </c>
    </row>
    <row r="562" spans="1:8" ht="39.200000000000003" customHeight="1" x14ac:dyDescent="0.25">
      <c r="A562" s="349" t="s">
        <v>295</v>
      </c>
      <c r="B562" s="347" t="s">
        <v>279</v>
      </c>
      <c r="C562" s="347" t="s">
        <v>133</v>
      </c>
      <c r="D562" s="347" t="s">
        <v>1008</v>
      </c>
      <c r="E562" s="347"/>
      <c r="F562" s="337">
        <f>F563</f>
        <v>67.400000000000006</v>
      </c>
      <c r="G562" s="337">
        <f t="shared" ref="G562" si="289">G563</f>
        <v>67.317449999999994</v>
      </c>
      <c r="H562" s="337">
        <f t="shared" si="269"/>
        <v>99.877522255192858</v>
      </c>
    </row>
    <row r="563" spans="1:8" ht="35.450000000000003" customHeight="1" x14ac:dyDescent="0.25">
      <c r="A563" s="349" t="s">
        <v>287</v>
      </c>
      <c r="B563" s="347" t="s">
        <v>279</v>
      </c>
      <c r="C563" s="347" t="s">
        <v>133</v>
      </c>
      <c r="D563" s="347" t="s">
        <v>1008</v>
      </c>
      <c r="E563" s="347" t="s">
        <v>288</v>
      </c>
      <c r="F563" s="337">
        <f t="shared" ref="F563:G563" si="290">F564</f>
        <v>67.400000000000006</v>
      </c>
      <c r="G563" s="337">
        <f t="shared" si="290"/>
        <v>67.317449999999994</v>
      </c>
      <c r="H563" s="337">
        <f t="shared" si="269"/>
        <v>99.877522255192858</v>
      </c>
    </row>
    <row r="564" spans="1:8" ht="17.45" customHeight="1" x14ac:dyDescent="0.25">
      <c r="A564" s="349" t="s">
        <v>289</v>
      </c>
      <c r="B564" s="347" t="s">
        <v>279</v>
      </c>
      <c r="C564" s="347" t="s">
        <v>133</v>
      </c>
      <c r="D564" s="347" t="s">
        <v>1008</v>
      </c>
      <c r="E564" s="347" t="s">
        <v>290</v>
      </c>
      <c r="F564" s="337">
        <f>'Пр.4 ведом.20'!G619</f>
        <v>67.400000000000006</v>
      </c>
      <c r="G564" s="337">
        <f>'Пр.4 ведом.20'!H619</f>
        <v>67.317449999999994</v>
      </c>
      <c r="H564" s="337">
        <f t="shared" si="269"/>
        <v>99.877522255192858</v>
      </c>
    </row>
    <row r="565" spans="1:8" ht="38.25" customHeight="1" x14ac:dyDescent="0.25">
      <c r="A565" s="323" t="s">
        <v>430</v>
      </c>
      <c r="B565" s="347" t="s">
        <v>279</v>
      </c>
      <c r="C565" s="347" t="s">
        <v>133</v>
      </c>
      <c r="D565" s="347" t="s">
        <v>1009</v>
      </c>
      <c r="E565" s="347"/>
      <c r="F565" s="337">
        <f>F566</f>
        <v>3642.8160000000003</v>
      </c>
      <c r="G565" s="337">
        <f t="shared" ref="G565:G566" si="291">G566</f>
        <v>3642.8148900000001</v>
      </c>
      <c r="H565" s="337">
        <f t="shared" si="269"/>
        <v>99.999969529067627</v>
      </c>
    </row>
    <row r="566" spans="1:8" ht="34.5" customHeight="1" x14ac:dyDescent="0.25">
      <c r="A566" s="349" t="s">
        <v>287</v>
      </c>
      <c r="B566" s="347" t="s">
        <v>279</v>
      </c>
      <c r="C566" s="347" t="s">
        <v>133</v>
      </c>
      <c r="D566" s="347" t="s">
        <v>1009</v>
      </c>
      <c r="E566" s="347" t="s">
        <v>288</v>
      </c>
      <c r="F566" s="337">
        <f>F567</f>
        <v>3642.8160000000003</v>
      </c>
      <c r="G566" s="337">
        <f t="shared" si="291"/>
        <v>3642.8148900000001</v>
      </c>
      <c r="H566" s="337">
        <f t="shared" si="269"/>
        <v>99.999969529067627</v>
      </c>
    </row>
    <row r="567" spans="1:8" ht="15.75" x14ac:dyDescent="0.25">
      <c r="A567" s="349" t="s">
        <v>289</v>
      </c>
      <c r="B567" s="347" t="s">
        <v>279</v>
      </c>
      <c r="C567" s="347" t="s">
        <v>133</v>
      </c>
      <c r="D567" s="347" t="s">
        <v>1009</v>
      </c>
      <c r="E567" s="347" t="s">
        <v>290</v>
      </c>
      <c r="F567" s="337">
        <f>'Пр.4 ведом.20'!G622</f>
        <v>3642.8160000000003</v>
      </c>
      <c r="G567" s="337">
        <f>'Пр.4 ведом.20'!H622</f>
        <v>3642.8148900000001</v>
      </c>
      <c r="H567" s="337">
        <f t="shared" si="269"/>
        <v>99.999969529067627</v>
      </c>
    </row>
    <row r="568" spans="1:8" ht="31.5" x14ac:dyDescent="0.25">
      <c r="A568" s="224" t="s">
        <v>1075</v>
      </c>
      <c r="B568" s="319" t="s">
        <v>279</v>
      </c>
      <c r="C568" s="319" t="s">
        <v>133</v>
      </c>
      <c r="D568" s="319" t="s">
        <v>1010</v>
      </c>
      <c r="E568" s="319"/>
      <c r="F568" s="4">
        <f>F569+F572+F575</f>
        <v>4108.8900000000003</v>
      </c>
      <c r="G568" s="4">
        <f t="shared" ref="G568" si="292">G569+G572+G575</f>
        <v>3753.9682599999996</v>
      </c>
      <c r="H568" s="4">
        <f t="shared" si="269"/>
        <v>91.362101686830243</v>
      </c>
    </row>
    <row r="569" spans="1:8" ht="31.5" x14ac:dyDescent="0.25">
      <c r="A569" s="349" t="s">
        <v>299</v>
      </c>
      <c r="B569" s="347" t="s">
        <v>279</v>
      </c>
      <c r="C569" s="347" t="s">
        <v>133</v>
      </c>
      <c r="D569" s="347" t="s">
        <v>1011</v>
      </c>
      <c r="E569" s="347"/>
      <c r="F569" s="337">
        <f>F570</f>
        <v>56.78</v>
      </c>
      <c r="G569" s="337">
        <f t="shared" ref="G569:G570" si="293">G570</f>
        <v>56.779220000000002</v>
      </c>
      <c r="H569" s="337">
        <f t="shared" si="269"/>
        <v>99.998626276858047</v>
      </c>
    </row>
    <row r="570" spans="1:8" ht="31.5" x14ac:dyDescent="0.25">
      <c r="A570" s="349" t="s">
        <v>287</v>
      </c>
      <c r="B570" s="347" t="s">
        <v>279</v>
      </c>
      <c r="C570" s="347" t="s">
        <v>133</v>
      </c>
      <c r="D570" s="347" t="s">
        <v>1011</v>
      </c>
      <c r="E570" s="347" t="s">
        <v>288</v>
      </c>
      <c r="F570" s="337">
        <f>F571</f>
        <v>56.78</v>
      </c>
      <c r="G570" s="337">
        <f t="shared" si="293"/>
        <v>56.779220000000002</v>
      </c>
      <c r="H570" s="337">
        <f t="shared" si="269"/>
        <v>99.998626276858047</v>
      </c>
    </row>
    <row r="571" spans="1:8" ht="15.75" x14ac:dyDescent="0.25">
      <c r="A571" s="349" t="s">
        <v>289</v>
      </c>
      <c r="B571" s="347" t="s">
        <v>279</v>
      </c>
      <c r="C571" s="347" t="s">
        <v>133</v>
      </c>
      <c r="D571" s="347" t="s">
        <v>1011</v>
      </c>
      <c r="E571" s="347" t="s">
        <v>290</v>
      </c>
      <c r="F571" s="337">
        <f>'Пр.4 ведом.20'!G626</f>
        <v>56.78</v>
      </c>
      <c r="G571" s="337">
        <f>'Пр.4 ведом.20'!H626</f>
        <v>56.779220000000002</v>
      </c>
      <c r="H571" s="337">
        <f t="shared" si="269"/>
        <v>99.998626276858047</v>
      </c>
    </row>
    <row r="572" spans="1:8" ht="31.5" x14ac:dyDescent="0.25">
      <c r="A572" s="60" t="s">
        <v>785</v>
      </c>
      <c r="B572" s="347" t="s">
        <v>279</v>
      </c>
      <c r="C572" s="347" t="s">
        <v>133</v>
      </c>
      <c r="D572" s="347" t="s">
        <v>1012</v>
      </c>
      <c r="E572" s="347"/>
      <c r="F572" s="337">
        <f>F573</f>
        <v>2989.9</v>
      </c>
      <c r="G572" s="337">
        <f t="shared" ref="G572:G573" si="294">G573</f>
        <v>2698.9312</v>
      </c>
      <c r="H572" s="337">
        <f t="shared" si="269"/>
        <v>90.268276530987663</v>
      </c>
    </row>
    <row r="573" spans="1:8" ht="31.5" x14ac:dyDescent="0.25">
      <c r="A573" s="323" t="s">
        <v>287</v>
      </c>
      <c r="B573" s="347" t="s">
        <v>279</v>
      </c>
      <c r="C573" s="347" t="s">
        <v>133</v>
      </c>
      <c r="D573" s="347" t="s">
        <v>1012</v>
      </c>
      <c r="E573" s="347" t="s">
        <v>288</v>
      </c>
      <c r="F573" s="337">
        <f>F574</f>
        <v>2989.9</v>
      </c>
      <c r="G573" s="337">
        <f t="shared" si="294"/>
        <v>2698.9312</v>
      </c>
      <c r="H573" s="337">
        <f t="shared" si="269"/>
        <v>90.268276530987663</v>
      </c>
    </row>
    <row r="574" spans="1:8" ht="15.75" x14ac:dyDescent="0.25">
      <c r="A574" s="193" t="s">
        <v>289</v>
      </c>
      <c r="B574" s="347" t="s">
        <v>279</v>
      </c>
      <c r="C574" s="347" t="s">
        <v>133</v>
      </c>
      <c r="D574" s="347" t="s">
        <v>1012</v>
      </c>
      <c r="E574" s="347" t="s">
        <v>290</v>
      </c>
      <c r="F574" s="337">
        <f>'Пр.4 ведом.20'!G629</f>
        <v>2989.9</v>
      </c>
      <c r="G574" s="337">
        <f>'Пр.4 ведом.20'!H629</f>
        <v>2698.9312</v>
      </c>
      <c r="H574" s="337">
        <f t="shared" si="269"/>
        <v>90.268276530987663</v>
      </c>
    </row>
    <row r="575" spans="1:8" ht="47.25" x14ac:dyDescent="0.25">
      <c r="A575" s="60" t="s">
        <v>786</v>
      </c>
      <c r="B575" s="347" t="s">
        <v>279</v>
      </c>
      <c r="C575" s="347" t="s">
        <v>133</v>
      </c>
      <c r="D575" s="347" t="s">
        <v>1013</v>
      </c>
      <c r="E575" s="347"/>
      <c r="F575" s="337">
        <f>F576</f>
        <v>1062.21</v>
      </c>
      <c r="G575" s="337">
        <f t="shared" ref="G575:G576" si="295">G576</f>
        <v>998.25783999999999</v>
      </c>
      <c r="H575" s="337">
        <f t="shared" si="269"/>
        <v>93.979329887686987</v>
      </c>
    </row>
    <row r="576" spans="1:8" ht="31.5" x14ac:dyDescent="0.25">
      <c r="A576" s="323" t="s">
        <v>287</v>
      </c>
      <c r="B576" s="347" t="s">
        <v>279</v>
      </c>
      <c r="C576" s="347" t="s">
        <v>133</v>
      </c>
      <c r="D576" s="347" t="s">
        <v>1013</v>
      </c>
      <c r="E576" s="347" t="s">
        <v>288</v>
      </c>
      <c r="F576" s="337">
        <f>F577</f>
        <v>1062.21</v>
      </c>
      <c r="G576" s="337">
        <f t="shared" si="295"/>
        <v>998.25783999999999</v>
      </c>
      <c r="H576" s="337">
        <f t="shared" si="269"/>
        <v>93.979329887686987</v>
      </c>
    </row>
    <row r="577" spans="1:8" ht="15.75" x14ac:dyDescent="0.25">
      <c r="A577" s="193" t="s">
        <v>289</v>
      </c>
      <c r="B577" s="347" t="s">
        <v>279</v>
      </c>
      <c r="C577" s="347" t="s">
        <v>133</v>
      </c>
      <c r="D577" s="347" t="s">
        <v>1013</v>
      </c>
      <c r="E577" s="347" t="s">
        <v>290</v>
      </c>
      <c r="F577" s="337">
        <f>'Пр.4 ведом.20'!G632</f>
        <v>1062.21</v>
      </c>
      <c r="G577" s="337">
        <f>'Пр.4 ведом.20'!H632</f>
        <v>998.25783999999999</v>
      </c>
      <c r="H577" s="337">
        <f t="shared" si="269"/>
        <v>93.979329887686987</v>
      </c>
    </row>
    <row r="578" spans="1:8" ht="65.25" customHeight="1" x14ac:dyDescent="0.25">
      <c r="A578" s="318" t="s">
        <v>1014</v>
      </c>
      <c r="B578" s="319" t="s">
        <v>279</v>
      </c>
      <c r="C578" s="319" t="s">
        <v>133</v>
      </c>
      <c r="D578" s="319" t="s">
        <v>1015</v>
      </c>
      <c r="E578" s="319"/>
      <c r="F578" s="4">
        <f>F579+F582</f>
        <v>291.10000000000002</v>
      </c>
      <c r="G578" s="4">
        <f t="shared" ref="G578" si="296">G579+G582</f>
        <v>15.21616</v>
      </c>
      <c r="H578" s="4">
        <f t="shared" si="269"/>
        <v>5.2271246994160077</v>
      </c>
    </row>
    <row r="579" spans="1:8" ht="126" x14ac:dyDescent="0.25">
      <c r="A579" s="349" t="s">
        <v>1456</v>
      </c>
      <c r="B579" s="347" t="s">
        <v>279</v>
      </c>
      <c r="C579" s="347" t="s">
        <v>133</v>
      </c>
      <c r="D579" s="347" t="s">
        <v>1016</v>
      </c>
      <c r="E579" s="347"/>
      <c r="F579" s="337">
        <f>F580</f>
        <v>124.4</v>
      </c>
      <c r="G579" s="337">
        <f t="shared" ref="G579:G580" si="297">G580</f>
        <v>0</v>
      </c>
      <c r="H579" s="337">
        <f t="shared" si="269"/>
        <v>0</v>
      </c>
    </row>
    <row r="580" spans="1:8" ht="31.5" x14ac:dyDescent="0.25">
      <c r="A580" s="323" t="s">
        <v>287</v>
      </c>
      <c r="B580" s="347" t="s">
        <v>279</v>
      </c>
      <c r="C580" s="347" t="s">
        <v>133</v>
      </c>
      <c r="D580" s="347" t="s">
        <v>1016</v>
      </c>
      <c r="E580" s="347" t="s">
        <v>288</v>
      </c>
      <c r="F580" s="337">
        <f>F581</f>
        <v>124.4</v>
      </c>
      <c r="G580" s="337">
        <f t="shared" si="297"/>
        <v>0</v>
      </c>
      <c r="H580" s="337">
        <f t="shared" si="269"/>
        <v>0</v>
      </c>
    </row>
    <row r="581" spans="1:8" ht="15.75" x14ac:dyDescent="0.25">
      <c r="A581" s="193" t="s">
        <v>289</v>
      </c>
      <c r="B581" s="347" t="s">
        <v>279</v>
      </c>
      <c r="C581" s="347" t="s">
        <v>133</v>
      </c>
      <c r="D581" s="347" t="s">
        <v>1016</v>
      </c>
      <c r="E581" s="347" t="s">
        <v>290</v>
      </c>
      <c r="F581" s="337">
        <f>'Пр.4 ведом.20'!G636</f>
        <v>124.4</v>
      </c>
      <c r="G581" s="337">
        <f>'Пр.4 ведом.20'!H636</f>
        <v>0</v>
      </c>
      <c r="H581" s="337">
        <f t="shared" si="269"/>
        <v>0</v>
      </c>
    </row>
    <row r="582" spans="1:8" ht="126" x14ac:dyDescent="0.25">
      <c r="A582" s="349" t="s">
        <v>438</v>
      </c>
      <c r="B582" s="347" t="s">
        <v>279</v>
      </c>
      <c r="C582" s="347" t="s">
        <v>133</v>
      </c>
      <c r="D582" s="347" t="s">
        <v>1017</v>
      </c>
      <c r="E582" s="347"/>
      <c r="F582" s="337">
        <f t="shared" ref="F582:G583" si="298">F583</f>
        <v>166.7</v>
      </c>
      <c r="G582" s="337">
        <f t="shared" si="298"/>
        <v>15.21616</v>
      </c>
      <c r="H582" s="337">
        <f t="shared" si="269"/>
        <v>9.1278704259148178</v>
      </c>
    </row>
    <row r="583" spans="1:8" ht="31.5" x14ac:dyDescent="0.25">
      <c r="A583" s="349" t="s">
        <v>287</v>
      </c>
      <c r="B583" s="347" t="s">
        <v>279</v>
      </c>
      <c r="C583" s="347" t="s">
        <v>133</v>
      </c>
      <c r="D583" s="347" t="s">
        <v>1017</v>
      </c>
      <c r="E583" s="347" t="s">
        <v>288</v>
      </c>
      <c r="F583" s="337">
        <f t="shared" si="298"/>
        <v>166.7</v>
      </c>
      <c r="G583" s="337">
        <f t="shared" si="298"/>
        <v>15.21616</v>
      </c>
      <c r="H583" s="337">
        <f t="shared" si="269"/>
        <v>9.1278704259148178</v>
      </c>
    </row>
    <row r="584" spans="1:8" ht="15.75" x14ac:dyDescent="0.25">
      <c r="A584" s="349" t="s">
        <v>289</v>
      </c>
      <c r="B584" s="347" t="s">
        <v>279</v>
      </c>
      <c r="C584" s="347" t="s">
        <v>133</v>
      </c>
      <c r="D584" s="347" t="s">
        <v>1017</v>
      </c>
      <c r="E584" s="347" t="s">
        <v>290</v>
      </c>
      <c r="F584" s="337">
        <f>'Пр.4 ведом.20'!G639</f>
        <v>166.7</v>
      </c>
      <c r="G584" s="337">
        <f>'Пр.4 ведом.20'!H639</f>
        <v>15.21616</v>
      </c>
      <c r="H584" s="337">
        <f t="shared" si="269"/>
        <v>9.1278704259148178</v>
      </c>
    </row>
    <row r="585" spans="1:8" ht="65.25" hidden="1" customHeight="1" x14ac:dyDescent="0.25">
      <c r="A585" s="34" t="s">
        <v>803</v>
      </c>
      <c r="B585" s="319" t="s">
        <v>279</v>
      </c>
      <c r="C585" s="319" t="s">
        <v>133</v>
      </c>
      <c r="D585" s="319" t="s">
        <v>339</v>
      </c>
      <c r="E585" s="319"/>
      <c r="F585" s="4">
        <f>F586</f>
        <v>0</v>
      </c>
      <c r="G585" s="4">
        <f t="shared" ref="G585:G587" si="299">G586</f>
        <v>0</v>
      </c>
      <c r="H585" s="337" t="e">
        <f t="shared" ref="H585:H648" si="300">G585/F585*100</f>
        <v>#DIV/0!</v>
      </c>
    </row>
    <row r="586" spans="1:8" ht="63" hidden="1" x14ac:dyDescent="0.25">
      <c r="A586" s="34" t="s">
        <v>1160</v>
      </c>
      <c r="B586" s="319" t="s">
        <v>279</v>
      </c>
      <c r="C586" s="319" t="s">
        <v>133</v>
      </c>
      <c r="D586" s="319" t="s">
        <v>1023</v>
      </c>
      <c r="E586" s="319"/>
      <c r="F586" s="4">
        <f>F587</f>
        <v>0</v>
      </c>
      <c r="G586" s="4">
        <f t="shared" si="299"/>
        <v>0</v>
      </c>
      <c r="H586" s="337" t="e">
        <f t="shared" si="300"/>
        <v>#DIV/0!</v>
      </c>
    </row>
    <row r="587" spans="1:8" ht="47.25" hidden="1" x14ac:dyDescent="0.25">
      <c r="A587" s="31" t="s">
        <v>1159</v>
      </c>
      <c r="B587" s="347" t="s">
        <v>279</v>
      </c>
      <c r="C587" s="347" t="s">
        <v>133</v>
      </c>
      <c r="D587" s="347" t="s">
        <v>1024</v>
      </c>
      <c r="E587" s="347"/>
      <c r="F587" s="337">
        <f>F588</f>
        <v>0</v>
      </c>
      <c r="G587" s="337">
        <f t="shared" si="299"/>
        <v>0</v>
      </c>
      <c r="H587" s="337" t="e">
        <f t="shared" si="300"/>
        <v>#DIV/0!</v>
      </c>
    </row>
    <row r="588" spans="1:8" ht="31.5" hidden="1" x14ac:dyDescent="0.25">
      <c r="A588" s="31" t="s">
        <v>287</v>
      </c>
      <c r="B588" s="347" t="s">
        <v>279</v>
      </c>
      <c r="C588" s="347" t="s">
        <v>133</v>
      </c>
      <c r="D588" s="347" t="s">
        <v>1024</v>
      </c>
      <c r="E588" s="347" t="s">
        <v>288</v>
      </c>
      <c r="F588" s="337">
        <f t="shared" ref="F588:G588" si="301">F589</f>
        <v>0</v>
      </c>
      <c r="G588" s="337">
        <f t="shared" si="301"/>
        <v>0</v>
      </c>
      <c r="H588" s="337" t="e">
        <f t="shared" si="300"/>
        <v>#DIV/0!</v>
      </c>
    </row>
    <row r="589" spans="1:8" ht="15.75" hidden="1" x14ac:dyDescent="0.25">
      <c r="A589" s="31" t="s">
        <v>289</v>
      </c>
      <c r="B589" s="347" t="s">
        <v>279</v>
      </c>
      <c r="C589" s="347" t="s">
        <v>133</v>
      </c>
      <c r="D589" s="347" t="s">
        <v>1024</v>
      </c>
      <c r="E589" s="347" t="s">
        <v>290</v>
      </c>
      <c r="F589" s="337">
        <f>'Пр.4 ведом.20'!G651</f>
        <v>0</v>
      </c>
      <c r="G589" s="337">
        <f>'Пр.4 ведом.20'!H651</f>
        <v>0</v>
      </c>
      <c r="H589" s="337" t="e">
        <f t="shared" si="300"/>
        <v>#DIV/0!</v>
      </c>
    </row>
    <row r="590" spans="1:8" s="210" customFormat="1" ht="94.5" x14ac:dyDescent="0.25">
      <c r="A590" s="318" t="s">
        <v>1393</v>
      </c>
      <c r="B590" s="319" t="s">
        <v>279</v>
      </c>
      <c r="C590" s="319" t="s">
        <v>133</v>
      </c>
      <c r="D590" s="319" t="s">
        <v>1391</v>
      </c>
      <c r="E590" s="319"/>
      <c r="F590" s="317">
        <f>F591+F594</f>
        <v>1737.8999999999999</v>
      </c>
      <c r="G590" s="317">
        <f t="shared" ref="G590" si="302">G591+G594</f>
        <v>343.76949999999999</v>
      </c>
      <c r="H590" s="4">
        <f t="shared" si="300"/>
        <v>19.780741124345475</v>
      </c>
    </row>
    <row r="591" spans="1:8" s="210" customFormat="1" ht="94.5" x14ac:dyDescent="0.25">
      <c r="A591" s="151" t="s">
        <v>1457</v>
      </c>
      <c r="B591" s="347" t="s">
        <v>279</v>
      </c>
      <c r="C591" s="347" t="s">
        <v>133</v>
      </c>
      <c r="D591" s="347" t="s">
        <v>1395</v>
      </c>
      <c r="E591" s="347"/>
      <c r="F591" s="321">
        <f>F592</f>
        <v>71.3</v>
      </c>
      <c r="G591" s="321">
        <f t="shared" ref="G591:G592" si="303">G592</f>
        <v>0</v>
      </c>
      <c r="H591" s="337">
        <f t="shared" si="300"/>
        <v>0</v>
      </c>
    </row>
    <row r="592" spans="1:8" s="210" customFormat="1" ht="31.5" x14ac:dyDescent="0.25">
      <c r="A592" s="349" t="s">
        <v>287</v>
      </c>
      <c r="B592" s="347" t="s">
        <v>279</v>
      </c>
      <c r="C592" s="347" t="s">
        <v>133</v>
      </c>
      <c r="D592" s="347" t="s">
        <v>1395</v>
      </c>
      <c r="E592" s="347" t="s">
        <v>288</v>
      </c>
      <c r="F592" s="321">
        <f>F593</f>
        <v>71.3</v>
      </c>
      <c r="G592" s="321">
        <f t="shared" si="303"/>
        <v>0</v>
      </c>
      <c r="H592" s="337">
        <f t="shared" si="300"/>
        <v>0</v>
      </c>
    </row>
    <row r="593" spans="1:8" s="210" customFormat="1" ht="15.75" x14ac:dyDescent="0.25">
      <c r="A593" s="349" t="s">
        <v>289</v>
      </c>
      <c r="B593" s="347" t="s">
        <v>279</v>
      </c>
      <c r="C593" s="347" t="s">
        <v>133</v>
      </c>
      <c r="D593" s="347" t="s">
        <v>1395</v>
      </c>
      <c r="E593" s="347" t="s">
        <v>290</v>
      </c>
      <c r="F593" s="321">
        <f>'Пр.4 ведом.20'!G643</f>
        <v>71.3</v>
      </c>
      <c r="G593" s="321">
        <f>'Пр.4 ведом.20'!H643</f>
        <v>0</v>
      </c>
      <c r="H593" s="337">
        <f t="shared" si="300"/>
        <v>0</v>
      </c>
    </row>
    <row r="594" spans="1:8" s="210" customFormat="1" ht="97.5" customHeight="1" x14ac:dyDescent="0.25">
      <c r="A594" s="151" t="s">
        <v>1392</v>
      </c>
      <c r="B594" s="347" t="s">
        <v>279</v>
      </c>
      <c r="C594" s="347" t="s">
        <v>133</v>
      </c>
      <c r="D594" s="347" t="s">
        <v>1394</v>
      </c>
      <c r="E594" s="347"/>
      <c r="F594" s="321">
        <f>F595</f>
        <v>1666.6</v>
      </c>
      <c r="G594" s="321">
        <f t="shared" ref="G594:G595" si="304">G595</f>
        <v>343.76949999999999</v>
      </c>
      <c r="H594" s="337">
        <f t="shared" si="300"/>
        <v>20.626995079803194</v>
      </c>
    </row>
    <row r="595" spans="1:8" s="210" customFormat="1" ht="31.5" x14ac:dyDescent="0.25">
      <c r="A595" s="349" t="s">
        <v>287</v>
      </c>
      <c r="B595" s="347" t="s">
        <v>279</v>
      </c>
      <c r="C595" s="347" t="s">
        <v>133</v>
      </c>
      <c r="D595" s="347" t="s">
        <v>1394</v>
      </c>
      <c r="E595" s="347" t="s">
        <v>288</v>
      </c>
      <c r="F595" s="321">
        <f>F596</f>
        <v>1666.6</v>
      </c>
      <c r="G595" s="321">
        <f t="shared" si="304"/>
        <v>343.76949999999999</v>
      </c>
      <c r="H595" s="337">
        <f t="shared" si="300"/>
        <v>20.626995079803194</v>
      </c>
    </row>
    <row r="596" spans="1:8" s="210" customFormat="1" ht="15.75" x14ac:dyDescent="0.25">
      <c r="A596" s="349" t="s">
        <v>289</v>
      </c>
      <c r="B596" s="347" t="s">
        <v>279</v>
      </c>
      <c r="C596" s="347" t="s">
        <v>133</v>
      </c>
      <c r="D596" s="347" t="s">
        <v>1394</v>
      </c>
      <c r="E596" s="347" t="s">
        <v>290</v>
      </c>
      <c r="F596" s="321">
        <v>1666.6</v>
      </c>
      <c r="G596" s="321">
        <f>'Пр.4 ведом.20'!H646</f>
        <v>343.76949999999999</v>
      </c>
      <c r="H596" s="337">
        <f t="shared" si="300"/>
        <v>20.626995079803194</v>
      </c>
    </row>
    <row r="597" spans="1:8" ht="63" x14ac:dyDescent="0.25">
      <c r="A597" s="41" t="s">
        <v>728</v>
      </c>
      <c r="B597" s="319" t="s">
        <v>279</v>
      </c>
      <c r="C597" s="319" t="s">
        <v>133</v>
      </c>
      <c r="D597" s="319" t="s">
        <v>726</v>
      </c>
      <c r="E597" s="228"/>
      <c r="F597" s="4">
        <f>F598</f>
        <v>558.29999999999995</v>
      </c>
      <c r="G597" s="4">
        <f t="shared" ref="G597" si="305">G598</f>
        <v>548.05560000000003</v>
      </c>
      <c r="H597" s="4">
        <f t="shared" si="300"/>
        <v>98.165072541644292</v>
      </c>
    </row>
    <row r="598" spans="1:8" ht="47.25" x14ac:dyDescent="0.25">
      <c r="A598" s="41" t="s">
        <v>947</v>
      </c>
      <c r="B598" s="319" t="s">
        <v>279</v>
      </c>
      <c r="C598" s="319" t="s">
        <v>133</v>
      </c>
      <c r="D598" s="319" t="s">
        <v>945</v>
      </c>
      <c r="E598" s="228"/>
      <c r="F598" s="4">
        <f t="shared" ref="F598:G600" si="306">F599</f>
        <v>558.29999999999995</v>
      </c>
      <c r="G598" s="4">
        <f t="shared" si="306"/>
        <v>548.05560000000003</v>
      </c>
      <c r="H598" s="4">
        <f t="shared" si="300"/>
        <v>98.165072541644292</v>
      </c>
    </row>
    <row r="599" spans="1:8" ht="47.25" x14ac:dyDescent="0.25">
      <c r="A599" s="99" t="s">
        <v>801</v>
      </c>
      <c r="B599" s="347" t="s">
        <v>279</v>
      </c>
      <c r="C599" s="347" t="s">
        <v>133</v>
      </c>
      <c r="D599" s="347" t="s">
        <v>1025</v>
      </c>
      <c r="E599" s="32"/>
      <c r="F599" s="337">
        <f t="shared" si="306"/>
        <v>558.29999999999995</v>
      </c>
      <c r="G599" s="337">
        <f t="shared" si="306"/>
        <v>548.05560000000003</v>
      </c>
      <c r="H599" s="337">
        <f t="shared" si="300"/>
        <v>98.165072541644292</v>
      </c>
    </row>
    <row r="600" spans="1:8" ht="31.5" x14ac:dyDescent="0.25">
      <c r="A600" s="323" t="s">
        <v>287</v>
      </c>
      <c r="B600" s="347" t="s">
        <v>279</v>
      </c>
      <c r="C600" s="347" t="s">
        <v>133</v>
      </c>
      <c r="D600" s="347" t="s">
        <v>1025</v>
      </c>
      <c r="E600" s="32" t="s">
        <v>288</v>
      </c>
      <c r="F600" s="337">
        <f>F601</f>
        <v>558.29999999999995</v>
      </c>
      <c r="G600" s="337">
        <f t="shared" si="306"/>
        <v>548.05560000000003</v>
      </c>
      <c r="H600" s="337">
        <f t="shared" si="300"/>
        <v>98.165072541644292</v>
      </c>
    </row>
    <row r="601" spans="1:8" ht="24.75" customHeight="1" x14ac:dyDescent="0.25">
      <c r="A601" s="193" t="s">
        <v>289</v>
      </c>
      <c r="B601" s="347" t="s">
        <v>279</v>
      </c>
      <c r="C601" s="347" t="s">
        <v>133</v>
      </c>
      <c r="D601" s="347" t="s">
        <v>1025</v>
      </c>
      <c r="E601" s="32" t="s">
        <v>290</v>
      </c>
      <c r="F601" s="337">
        <f>'Пр.4 ведом.20'!G656</f>
        <v>558.29999999999995</v>
      </c>
      <c r="G601" s="337">
        <f>'Пр.4 ведом.20'!H656</f>
        <v>548.05560000000003</v>
      </c>
      <c r="H601" s="337">
        <f t="shared" si="300"/>
        <v>98.165072541644292</v>
      </c>
    </row>
    <row r="602" spans="1:8" ht="15.75" x14ac:dyDescent="0.25">
      <c r="A602" s="41" t="s">
        <v>440</v>
      </c>
      <c r="B602" s="312" t="s">
        <v>279</v>
      </c>
      <c r="C602" s="312" t="s">
        <v>228</v>
      </c>
      <c r="D602" s="312"/>
      <c r="E602" s="312"/>
      <c r="F602" s="4">
        <f>F603+F707+F712</f>
        <v>183991.18700000001</v>
      </c>
      <c r="G602" s="4">
        <f t="shared" ref="G602" si="307">G603+G707+G712</f>
        <v>174477.16777999999</v>
      </c>
      <c r="H602" s="4">
        <f t="shared" si="300"/>
        <v>94.82908971069358</v>
      </c>
    </row>
    <row r="603" spans="1:8" ht="47.25" x14ac:dyDescent="0.25">
      <c r="A603" s="318" t="s">
        <v>441</v>
      </c>
      <c r="B603" s="319" t="s">
        <v>279</v>
      </c>
      <c r="C603" s="319" t="s">
        <v>228</v>
      </c>
      <c r="D603" s="319" t="s">
        <v>421</v>
      </c>
      <c r="E603" s="319"/>
      <c r="F603" s="4">
        <f>F604+F637</f>
        <v>183041.92000000001</v>
      </c>
      <c r="G603" s="4">
        <f t="shared" ref="G603" si="308">G604+G637</f>
        <v>173537.34677999999</v>
      </c>
      <c r="H603" s="4">
        <f t="shared" si="300"/>
        <v>94.807433608650953</v>
      </c>
    </row>
    <row r="604" spans="1:8" ht="36" customHeight="1" x14ac:dyDescent="0.25">
      <c r="A604" s="318" t="s">
        <v>422</v>
      </c>
      <c r="B604" s="319" t="s">
        <v>279</v>
      </c>
      <c r="C604" s="319" t="s">
        <v>228</v>
      </c>
      <c r="D604" s="319" t="s">
        <v>423</v>
      </c>
      <c r="E604" s="319"/>
      <c r="F604" s="4">
        <f>F605+F615</f>
        <v>166652.15300000002</v>
      </c>
      <c r="G604" s="4">
        <f t="shared" ref="G604" si="309">G605+G615</f>
        <v>158918.84099999999</v>
      </c>
      <c r="H604" s="4">
        <f t="shared" si="300"/>
        <v>95.359608705445268</v>
      </c>
    </row>
    <row r="605" spans="1:8" ht="31.5" x14ac:dyDescent="0.25">
      <c r="A605" s="318" t="s">
        <v>1026</v>
      </c>
      <c r="B605" s="319" t="s">
        <v>279</v>
      </c>
      <c r="C605" s="319" t="s">
        <v>228</v>
      </c>
      <c r="D605" s="319" t="s">
        <v>1004</v>
      </c>
      <c r="E605" s="319"/>
      <c r="F605" s="4">
        <f>F606+F609+F612</f>
        <v>27051.48157</v>
      </c>
      <c r="G605" s="4">
        <f t="shared" ref="G605" si="310">G606+G609+G612</f>
        <v>27030.673999999999</v>
      </c>
      <c r="H605" s="4">
        <f t="shared" si="300"/>
        <v>99.923081588170476</v>
      </c>
    </row>
    <row r="606" spans="1:8" ht="47.25" x14ac:dyDescent="0.25">
      <c r="A606" s="349" t="s">
        <v>1066</v>
      </c>
      <c r="B606" s="347" t="s">
        <v>279</v>
      </c>
      <c r="C606" s="347" t="s">
        <v>228</v>
      </c>
      <c r="D606" s="347" t="s">
        <v>1063</v>
      </c>
      <c r="E606" s="347"/>
      <c r="F606" s="293">
        <f t="shared" ref="F606:G606" si="311">F607</f>
        <v>9301.4285700000019</v>
      </c>
      <c r="G606" s="293">
        <f t="shared" si="311"/>
        <v>9287.3289999999997</v>
      </c>
      <c r="H606" s="337">
        <f t="shared" si="300"/>
        <v>99.848415005352209</v>
      </c>
    </row>
    <row r="607" spans="1:8" ht="39.75" customHeight="1" x14ac:dyDescent="0.25">
      <c r="A607" s="349" t="s">
        <v>287</v>
      </c>
      <c r="B607" s="347" t="s">
        <v>279</v>
      </c>
      <c r="C607" s="347" t="s">
        <v>228</v>
      </c>
      <c r="D607" s="347" t="s">
        <v>1063</v>
      </c>
      <c r="E607" s="347" t="s">
        <v>288</v>
      </c>
      <c r="F607" s="293">
        <f>'Пр.4 ведом.20'!G663</f>
        <v>9301.4285700000019</v>
      </c>
      <c r="G607" s="293">
        <f>'Пр.4 ведом.20'!H663</f>
        <v>9287.3289999999997</v>
      </c>
      <c r="H607" s="337">
        <f t="shared" si="300"/>
        <v>99.848415005352209</v>
      </c>
    </row>
    <row r="608" spans="1:8" ht="15.75" x14ac:dyDescent="0.25">
      <c r="A608" s="349" t="s">
        <v>289</v>
      </c>
      <c r="B608" s="347" t="s">
        <v>279</v>
      </c>
      <c r="C608" s="347" t="s">
        <v>228</v>
      </c>
      <c r="D608" s="347" t="s">
        <v>1063</v>
      </c>
      <c r="E608" s="347" t="s">
        <v>290</v>
      </c>
      <c r="F608" s="337">
        <f>'Пр.4 ведом.20'!G663</f>
        <v>9301.4285700000019</v>
      </c>
      <c r="G608" s="337">
        <f>'Пр.4 ведом.20'!H663</f>
        <v>9287.3289999999997</v>
      </c>
      <c r="H608" s="337">
        <f t="shared" si="300"/>
        <v>99.848415005352209</v>
      </c>
    </row>
    <row r="609" spans="1:8" ht="47.25" customHeight="1" x14ac:dyDescent="0.25">
      <c r="A609" s="349" t="s">
        <v>1067</v>
      </c>
      <c r="B609" s="347" t="s">
        <v>279</v>
      </c>
      <c r="C609" s="347" t="s">
        <v>228</v>
      </c>
      <c r="D609" s="347" t="s">
        <v>1064</v>
      </c>
      <c r="E609" s="347"/>
      <c r="F609" s="337">
        <f t="shared" ref="F609:G610" si="312">F610</f>
        <v>11361.7</v>
      </c>
      <c r="G609" s="337">
        <f t="shared" si="312"/>
        <v>11355</v>
      </c>
      <c r="H609" s="337">
        <f t="shared" si="300"/>
        <v>99.941029951503737</v>
      </c>
    </row>
    <row r="610" spans="1:8" ht="35.450000000000003" customHeight="1" x14ac:dyDescent="0.25">
      <c r="A610" s="349" t="s">
        <v>287</v>
      </c>
      <c r="B610" s="347" t="s">
        <v>279</v>
      </c>
      <c r="C610" s="347" t="s">
        <v>228</v>
      </c>
      <c r="D610" s="347" t="s">
        <v>1064</v>
      </c>
      <c r="E610" s="347" t="s">
        <v>288</v>
      </c>
      <c r="F610" s="337">
        <f t="shared" si="312"/>
        <v>11361.7</v>
      </c>
      <c r="G610" s="337">
        <f t="shared" si="312"/>
        <v>11355</v>
      </c>
      <c r="H610" s="337">
        <f t="shared" si="300"/>
        <v>99.941029951503737</v>
      </c>
    </row>
    <row r="611" spans="1:8" ht="15.75" customHeight="1" x14ac:dyDescent="0.25">
      <c r="A611" s="349" t="s">
        <v>289</v>
      </c>
      <c r="B611" s="347" t="s">
        <v>279</v>
      </c>
      <c r="C611" s="347" t="s">
        <v>228</v>
      </c>
      <c r="D611" s="347" t="s">
        <v>1064</v>
      </c>
      <c r="E611" s="347" t="s">
        <v>290</v>
      </c>
      <c r="F611" s="337">
        <f>'Пр.4 ведом.20'!G666</f>
        <v>11361.7</v>
      </c>
      <c r="G611" s="337">
        <f>'Пр.4 ведом.20'!H666</f>
        <v>11355</v>
      </c>
      <c r="H611" s="337">
        <f t="shared" si="300"/>
        <v>99.941029951503737</v>
      </c>
    </row>
    <row r="612" spans="1:8" ht="52.5" customHeight="1" x14ac:dyDescent="0.25">
      <c r="A612" s="349" t="s">
        <v>1068</v>
      </c>
      <c r="B612" s="347" t="s">
        <v>279</v>
      </c>
      <c r="C612" s="347" t="s">
        <v>228</v>
      </c>
      <c r="D612" s="347" t="s">
        <v>1065</v>
      </c>
      <c r="E612" s="347"/>
      <c r="F612" s="337">
        <f>F613</f>
        <v>6388.3530000000001</v>
      </c>
      <c r="G612" s="337">
        <f t="shared" ref="G612" si="313">G613</f>
        <v>6388.3450000000003</v>
      </c>
      <c r="H612" s="337">
        <f t="shared" si="300"/>
        <v>99.999874772104803</v>
      </c>
    </row>
    <row r="613" spans="1:8" ht="34.5" customHeight="1" x14ac:dyDescent="0.25">
      <c r="A613" s="349" t="s">
        <v>287</v>
      </c>
      <c r="B613" s="347" t="s">
        <v>279</v>
      </c>
      <c r="C613" s="347" t="s">
        <v>228</v>
      </c>
      <c r="D613" s="347" t="s">
        <v>1065</v>
      </c>
      <c r="E613" s="347" t="s">
        <v>288</v>
      </c>
      <c r="F613" s="337">
        <f t="shared" ref="F613:G613" si="314">F614</f>
        <v>6388.3530000000001</v>
      </c>
      <c r="G613" s="337">
        <f t="shared" si="314"/>
        <v>6388.3450000000003</v>
      </c>
      <c r="H613" s="337">
        <f t="shared" si="300"/>
        <v>99.999874772104803</v>
      </c>
    </row>
    <row r="614" spans="1:8" ht="15" customHeight="1" x14ac:dyDescent="0.25">
      <c r="A614" s="349" t="s">
        <v>289</v>
      </c>
      <c r="B614" s="347" t="s">
        <v>279</v>
      </c>
      <c r="C614" s="347" t="s">
        <v>228</v>
      </c>
      <c r="D614" s="347" t="s">
        <v>1065</v>
      </c>
      <c r="E614" s="347" t="s">
        <v>290</v>
      </c>
      <c r="F614" s="337">
        <f>'Пр.4 ведом.20'!G669</f>
        <v>6388.3530000000001</v>
      </c>
      <c r="G614" s="337">
        <f>'Пр.4 ведом.20'!H669</f>
        <v>6388.3450000000003</v>
      </c>
      <c r="H614" s="337">
        <f t="shared" si="300"/>
        <v>99.999874772104803</v>
      </c>
    </row>
    <row r="615" spans="1:8" ht="47.25" customHeight="1" x14ac:dyDescent="0.25">
      <c r="A615" s="318" t="s">
        <v>969</v>
      </c>
      <c r="B615" s="319" t="s">
        <v>279</v>
      </c>
      <c r="C615" s="319" t="s">
        <v>228</v>
      </c>
      <c r="D615" s="319" t="s">
        <v>1019</v>
      </c>
      <c r="E615" s="319"/>
      <c r="F615" s="4">
        <f>F622+F625+F628+F631+F634+F619+F616</f>
        <v>139600.67143000002</v>
      </c>
      <c r="G615" s="4">
        <f t="shared" ref="G615" si="315">G622+G625+G628+G631+G634+G619+G616</f>
        <v>131888.16699999999</v>
      </c>
      <c r="H615" s="4">
        <f t="shared" si="300"/>
        <v>94.475309931537609</v>
      </c>
    </row>
    <row r="616" spans="1:8" s="309" customFormat="1" ht="47.25" customHeight="1" x14ac:dyDescent="0.25">
      <c r="A616" s="349" t="s">
        <v>1515</v>
      </c>
      <c r="B616" s="347" t="s">
        <v>279</v>
      </c>
      <c r="C616" s="347" t="s">
        <v>228</v>
      </c>
      <c r="D616" s="347" t="s">
        <v>1516</v>
      </c>
      <c r="E616" s="347"/>
      <c r="F616" s="337">
        <f>F617</f>
        <v>2408.6999999999998</v>
      </c>
      <c r="G616" s="337">
        <f t="shared" ref="G616:G617" si="316">G617</f>
        <v>2064.1529999999998</v>
      </c>
      <c r="H616" s="337">
        <f t="shared" si="300"/>
        <v>85.695727986050557</v>
      </c>
    </row>
    <row r="617" spans="1:8" s="309" customFormat="1" ht="31.5" x14ac:dyDescent="0.25">
      <c r="A617" s="349" t="s">
        <v>287</v>
      </c>
      <c r="B617" s="347" t="s">
        <v>279</v>
      </c>
      <c r="C617" s="347" t="s">
        <v>228</v>
      </c>
      <c r="D617" s="347" t="s">
        <v>1516</v>
      </c>
      <c r="E617" s="347" t="s">
        <v>288</v>
      </c>
      <c r="F617" s="337">
        <f>F618</f>
        <v>2408.6999999999998</v>
      </c>
      <c r="G617" s="337">
        <f t="shared" si="316"/>
        <v>2064.1529999999998</v>
      </c>
      <c r="H617" s="337">
        <f t="shared" si="300"/>
        <v>85.695727986050557</v>
      </c>
    </row>
    <row r="618" spans="1:8" s="309" customFormat="1" ht="15.75" x14ac:dyDescent="0.25">
      <c r="A618" s="349" t="s">
        <v>289</v>
      </c>
      <c r="B618" s="347" t="s">
        <v>279</v>
      </c>
      <c r="C618" s="347" t="s">
        <v>228</v>
      </c>
      <c r="D618" s="347" t="s">
        <v>1516</v>
      </c>
      <c r="E618" s="347" t="s">
        <v>290</v>
      </c>
      <c r="F618" s="337">
        <f>'Пр.4 ведом.20'!G673</f>
        <v>2408.6999999999998</v>
      </c>
      <c r="G618" s="337">
        <f>'Пр.4 ведом.20'!H673</f>
        <v>2064.1529999999998</v>
      </c>
      <c r="H618" s="337">
        <f t="shared" si="300"/>
        <v>85.695727986050557</v>
      </c>
    </row>
    <row r="619" spans="1:8" s="309" customFormat="1" ht="94.5" x14ac:dyDescent="0.25">
      <c r="A619" s="31" t="s">
        <v>308</v>
      </c>
      <c r="B619" s="347" t="s">
        <v>279</v>
      </c>
      <c r="C619" s="347" t="s">
        <v>228</v>
      </c>
      <c r="D619" s="347" t="s">
        <v>1507</v>
      </c>
      <c r="E619" s="347"/>
      <c r="F619" s="337">
        <f>F620</f>
        <v>3394.4</v>
      </c>
      <c r="G619" s="337">
        <f t="shared" ref="G619:G620" si="317">G620</f>
        <v>3394.4</v>
      </c>
      <c r="H619" s="337">
        <f t="shared" si="300"/>
        <v>100</v>
      </c>
    </row>
    <row r="620" spans="1:8" s="309" customFormat="1" ht="31.5" x14ac:dyDescent="0.25">
      <c r="A620" s="349" t="s">
        <v>287</v>
      </c>
      <c r="B620" s="347" t="s">
        <v>279</v>
      </c>
      <c r="C620" s="347" t="s">
        <v>228</v>
      </c>
      <c r="D620" s="347" t="s">
        <v>1507</v>
      </c>
      <c r="E620" s="347" t="s">
        <v>288</v>
      </c>
      <c r="F620" s="337">
        <f>F621</f>
        <v>3394.4</v>
      </c>
      <c r="G620" s="337">
        <f t="shared" si="317"/>
        <v>3394.4</v>
      </c>
      <c r="H620" s="337">
        <f t="shared" si="300"/>
        <v>100</v>
      </c>
    </row>
    <row r="621" spans="1:8" s="309" customFormat="1" ht="15.75" x14ac:dyDescent="0.25">
      <c r="A621" s="349" t="s">
        <v>289</v>
      </c>
      <c r="B621" s="347" t="s">
        <v>279</v>
      </c>
      <c r="C621" s="347" t="s">
        <v>228</v>
      </c>
      <c r="D621" s="347" t="s">
        <v>1507</v>
      </c>
      <c r="E621" s="347" t="s">
        <v>290</v>
      </c>
      <c r="F621" s="337">
        <f>'Пр.4 ведом.20'!G676</f>
        <v>3394.4</v>
      </c>
      <c r="G621" s="337">
        <f>'Пр.4 ведом.20'!H676</f>
        <v>3394.4</v>
      </c>
      <c r="H621" s="337">
        <f t="shared" si="300"/>
        <v>100</v>
      </c>
    </row>
    <row r="622" spans="1:8" ht="90" customHeight="1" x14ac:dyDescent="0.25">
      <c r="A622" s="31" t="s">
        <v>1449</v>
      </c>
      <c r="B622" s="347" t="s">
        <v>279</v>
      </c>
      <c r="C622" s="347" t="s">
        <v>228</v>
      </c>
      <c r="D622" s="347" t="s">
        <v>1047</v>
      </c>
      <c r="E622" s="347"/>
      <c r="F622" s="337">
        <f>F623</f>
        <v>128341.87143</v>
      </c>
      <c r="G622" s="337">
        <f t="shared" ref="G622" si="318">G623</f>
        <v>122091.401</v>
      </c>
      <c r="H622" s="337">
        <f t="shared" si="300"/>
        <v>95.129827576646235</v>
      </c>
    </row>
    <row r="623" spans="1:8" ht="35.450000000000003" customHeight="1" x14ac:dyDescent="0.25">
      <c r="A623" s="349" t="s">
        <v>287</v>
      </c>
      <c r="B623" s="347" t="s">
        <v>279</v>
      </c>
      <c r="C623" s="347" t="s">
        <v>228</v>
      </c>
      <c r="D623" s="347" t="s">
        <v>1047</v>
      </c>
      <c r="E623" s="347" t="s">
        <v>288</v>
      </c>
      <c r="F623" s="337">
        <f t="shared" ref="F623:G623" si="319">F624</f>
        <v>128341.87143</v>
      </c>
      <c r="G623" s="337">
        <f t="shared" si="319"/>
        <v>122091.401</v>
      </c>
      <c r="H623" s="337">
        <f t="shared" si="300"/>
        <v>95.129827576646235</v>
      </c>
    </row>
    <row r="624" spans="1:8" ht="15.75" customHeight="1" x14ac:dyDescent="0.25">
      <c r="A624" s="349" t="s">
        <v>289</v>
      </c>
      <c r="B624" s="347" t="s">
        <v>279</v>
      </c>
      <c r="C624" s="347" t="s">
        <v>228</v>
      </c>
      <c r="D624" s="347" t="s">
        <v>1047</v>
      </c>
      <c r="E624" s="347" t="s">
        <v>290</v>
      </c>
      <c r="F624" s="337">
        <f>'Пр.4 ведом.20'!G679</f>
        <v>128341.87143</v>
      </c>
      <c r="G624" s="337">
        <f>'Пр.4 ведом.20'!H679</f>
        <v>122091.401</v>
      </c>
      <c r="H624" s="337">
        <f t="shared" si="300"/>
        <v>95.129827576646235</v>
      </c>
    </row>
    <row r="625" spans="1:8" ht="72" customHeight="1" x14ac:dyDescent="0.25">
      <c r="A625" s="31" t="s">
        <v>304</v>
      </c>
      <c r="B625" s="347" t="s">
        <v>279</v>
      </c>
      <c r="C625" s="347" t="s">
        <v>228</v>
      </c>
      <c r="D625" s="347" t="s">
        <v>1018</v>
      </c>
      <c r="E625" s="347"/>
      <c r="F625" s="337">
        <f>F626</f>
        <v>1245.5999999999999</v>
      </c>
      <c r="G625" s="337">
        <f t="shared" ref="G625" si="320">G626</f>
        <v>450.61700000000002</v>
      </c>
      <c r="H625" s="337">
        <f t="shared" si="300"/>
        <v>36.17670199100835</v>
      </c>
    </row>
    <row r="626" spans="1:8" ht="31.7" customHeight="1" x14ac:dyDescent="0.25">
      <c r="A626" s="349" t="s">
        <v>287</v>
      </c>
      <c r="B626" s="347" t="s">
        <v>279</v>
      </c>
      <c r="C626" s="347" t="s">
        <v>228</v>
      </c>
      <c r="D626" s="347" t="s">
        <v>1018</v>
      </c>
      <c r="E626" s="347" t="s">
        <v>288</v>
      </c>
      <c r="F626" s="337">
        <f t="shared" ref="F626:G626" si="321">F627</f>
        <v>1245.5999999999999</v>
      </c>
      <c r="G626" s="337">
        <f t="shared" si="321"/>
        <v>450.61700000000002</v>
      </c>
      <c r="H626" s="337">
        <f t="shared" si="300"/>
        <v>36.17670199100835</v>
      </c>
    </row>
    <row r="627" spans="1:8" ht="18" customHeight="1" x14ac:dyDescent="0.25">
      <c r="A627" s="349" t="s">
        <v>289</v>
      </c>
      <c r="B627" s="347" t="s">
        <v>279</v>
      </c>
      <c r="C627" s="347" t="s">
        <v>228</v>
      </c>
      <c r="D627" s="347" t="s">
        <v>1018</v>
      </c>
      <c r="E627" s="347" t="s">
        <v>290</v>
      </c>
      <c r="F627" s="337">
        <f>'Пр.4 ведом.20'!G682</f>
        <v>1245.5999999999999</v>
      </c>
      <c r="G627" s="337">
        <f>'Пр.4 ведом.20'!H682</f>
        <v>450.61700000000002</v>
      </c>
      <c r="H627" s="337">
        <f t="shared" si="300"/>
        <v>36.17670199100835</v>
      </c>
    </row>
    <row r="628" spans="1:8" ht="67.7" customHeight="1" x14ac:dyDescent="0.25">
      <c r="A628" s="31" t="s">
        <v>306</v>
      </c>
      <c r="B628" s="347" t="s">
        <v>279</v>
      </c>
      <c r="C628" s="347" t="s">
        <v>228</v>
      </c>
      <c r="D628" s="347" t="s">
        <v>1021</v>
      </c>
      <c r="E628" s="347"/>
      <c r="F628" s="337">
        <f>F629</f>
        <v>2266.6999999999998</v>
      </c>
      <c r="G628" s="337">
        <f t="shared" ref="G628" si="322">G629</f>
        <v>2069.6</v>
      </c>
      <c r="H628" s="337">
        <f t="shared" si="300"/>
        <v>91.304539639122964</v>
      </c>
    </row>
    <row r="629" spans="1:8" ht="34.5" customHeight="1" x14ac:dyDescent="0.25">
      <c r="A629" s="349" t="s">
        <v>287</v>
      </c>
      <c r="B629" s="347" t="s">
        <v>279</v>
      </c>
      <c r="C629" s="347" t="s">
        <v>228</v>
      </c>
      <c r="D629" s="347" t="s">
        <v>1021</v>
      </c>
      <c r="E629" s="347" t="s">
        <v>288</v>
      </c>
      <c r="F629" s="337">
        <f t="shared" ref="F629:G629" si="323">F630</f>
        <v>2266.6999999999998</v>
      </c>
      <c r="G629" s="337">
        <f t="shared" si="323"/>
        <v>2069.6</v>
      </c>
      <c r="H629" s="337">
        <f t="shared" si="300"/>
        <v>91.304539639122964</v>
      </c>
    </row>
    <row r="630" spans="1:8" ht="15.75" x14ac:dyDescent="0.25">
      <c r="A630" s="349" t="s">
        <v>289</v>
      </c>
      <c r="B630" s="347" t="s">
        <v>279</v>
      </c>
      <c r="C630" s="347" t="s">
        <v>228</v>
      </c>
      <c r="D630" s="347" t="s">
        <v>1021</v>
      </c>
      <c r="E630" s="347" t="s">
        <v>290</v>
      </c>
      <c r="F630" s="337">
        <f>'Пр.4 ведом.20'!G685</f>
        <v>2266.6999999999998</v>
      </c>
      <c r="G630" s="337">
        <f>'Пр.4 ведом.20'!H685</f>
        <v>2069.6</v>
      </c>
      <c r="H630" s="337">
        <f t="shared" si="300"/>
        <v>91.304539639122964</v>
      </c>
    </row>
    <row r="631" spans="1:8" ht="47.25" x14ac:dyDescent="0.25">
      <c r="A631" s="31" t="s">
        <v>477</v>
      </c>
      <c r="B631" s="347" t="s">
        <v>279</v>
      </c>
      <c r="C631" s="347" t="s">
        <v>228</v>
      </c>
      <c r="D631" s="347" t="s">
        <v>1048</v>
      </c>
      <c r="E631" s="347"/>
      <c r="F631" s="337">
        <f>F632</f>
        <v>923.4</v>
      </c>
      <c r="G631" s="337">
        <f t="shared" ref="G631" si="324">G632</f>
        <v>797.99599999999998</v>
      </c>
      <c r="H631" s="337">
        <f t="shared" si="300"/>
        <v>86.419319904700018</v>
      </c>
    </row>
    <row r="632" spans="1:8" ht="36" customHeight="1" x14ac:dyDescent="0.25">
      <c r="A632" s="349" t="s">
        <v>287</v>
      </c>
      <c r="B632" s="347" t="s">
        <v>279</v>
      </c>
      <c r="C632" s="347" t="s">
        <v>228</v>
      </c>
      <c r="D632" s="347" t="s">
        <v>1048</v>
      </c>
      <c r="E632" s="347" t="s">
        <v>288</v>
      </c>
      <c r="F632" s="337">
        <f t="shared" ref="F632:G632" si="325">F633</f>
        <v>923.4</v>
      </c>
      <c r="G632" s="337">
        <f t="shared" si="325"/>
        <v>797.99599999999998</v>
      </c>
      <c r="H632" s="337">
        <f t="shared" si="300"/>
        <v>86.419319904700018</v>
      </c>
    </row>
    <row r="633" spans="1:8" ht="15.75" x14ac:dyDescent="0.25">
      <c r="A633" s="349" t="s">
        <v>289</v>
      </c>
      <c r="B633" s="347" t="s">
        <v>279</v>
      </c>
      <c r="C633" s="347" t="s">
        <v>228</v>
      </c>
      <c r="D633" s="347" t="s">
        <v>1048</v>
      </c>
      <c r="E633" s="347" t="s">
        <v>290</v>
      </c>
      <c r="F633" s="337">
        <f>'Пр.4 ведом.20'!G688</f>
        <v>923.4</v>
      </c>
      <c r="G633" s="337">
        <f>'Пр.4 ведом.20'!H688</f>
        <v>797.99599999999998</v>
      </c>
      <c r="H633" s="337">
        <f t="shared" si="300"/>
        <v>86.419319904700018</v>
      </c>
    </row>
    <row r="634" spans="1:8" ht="94.5" x14ac:dyDescent="0.25">
      <c r="A634" s="31" t="s">
        <v>479</v>
      </c>
      <c r="B634" s="347" t="s">
        <v>279</v>
      </c>
      <c r="C634" s="347" t="s">
        <v>228</v>
      </c>
      <c r="D634" s="347" t="s">
        <v>1022</v>
      </c>
      <c r="E634" s="347"/>
      <c r="F634" s="337">
        <f>F635</f>
        <v>1019.9999999999991</v>
      </c>
      <c r="G634" s="337">
        <f t="shared" ref="G634:G635" si="326">G635</f>
        <v>1020</v>
      </c>
      <c r="H634" s="337">
        <f t="shared" si="300"/>
        <v>100.00000000000009</v>
      </c>
    </row>
    <row r="635" spans="1:8" ht="37.5" customHeight="1" x14ac:dyDescent="0.25">
      <c r="A635" s="349" t="s">
        <v>287</v>
      </c>
      <c r="B635" s="347" t="s">
        <v>279</v>
      </c>
      <c r="C635" s="347" t="s">
        <v>228</v>
      </c>
      <c r="D635" s="347" t="s">
        <v>1022</v>
      </c>
      <c r="E635" s="347" t="s">
        <v>288</v>
      </c>
      <c r="F635" s="337">
        <f>F636</f>
        <v>1019.9999999999991</v>
      </c>
      <c r="G635" s="337">
        <f t="shared" si="326"/>
        <v>1020</v>
      </c>
      <c r="H635" s="337">
        <f t="shared" si="300"/>
        <v>100.00000000000009</v>
      </c>
    </row>
    <row r="636" spans="1:8" ht="15.75" x14ac:dyDescent="0.25">
      <c r="A636" s="349" t="s">
        <v>289</v>
      </c>
      <c r="B636" s="347" t="s">
        <v>279</v>
      </c>
      <c r="C636" s="347" t="s">
        <v>228</v>
      </c>
      <c r="D636" s="347" t="s">
        <v>1022</v>
      </c>
      <c r="E636" s="347" t="s">
        <v>290</v>
      </c>
      <c r="F636" s="337">
        <f>'Пр.4 ведом.20'!G691</f>
        <v>1019.9999999999991</v>
      </c>
      <c r="G636" s="337">
        <f>'Пр.4 ведом.20'!H691</f>
        <v>1020</v>
      </c>
      <c r="H636" s="337">
        <f t="shared" si="300"/>
        <v>100.00000000000009</v>
      </c>
    </row>
    <row r="637" spans="1:8" ht="31.5" x14ac:dyDescent="0.25">
      <c r="A637" s="263" t="s">
        <v>445</v>
      </c>
      <c r="B637" s="319" t="s">
        <v>279</v>
      </c>
      <c r="C637" s="319" t="s">
        <v>228</v>
      </c>
      <c r="D637" s="319" t="s">
        <v>446</v>
      </c>
      <c r="E637" s="319"/>
      <c r="F637" s="4">
        <f>F638+F651+F658+F665+F672+F700+F679+F686+F693</f>
        <v>16389.767</v>
      </c>
      <c r="G637" s="4">
        <f t="shared" ref="G637" si="327">G638+G651+G658+G665+G672+G700+G679+G686+G693</f>
        <v>14618.50578</v>
      </c>
      <c r="H637" s="4">
        <f t="shared" si="300"/>
        <v>89.192883461979662</v>
      </c>
    </row>
    <row r="638" spans="1:8" ht="31.5" x14ac:dyDescent="0.25">
      <c r="A638" s="318" t="s">
        <v>1266</v>
      </c>
      <c r="B638" s="319" t="s">
        <v>279</v>
      </c>
      <c r="C638" s="319" t="s">
        <v>228</v>
      </c>
      <c r="D638" s="319" t="s">
        <v>1028</v>
      </c>
      <c r="E638" s="319"/>
      <c r="F638" s="4">
        <f>F639+F642+F645+F648</f>
        <v>2274.9139999999998</v>
      </c>
      <c r="G638" s="4">
        <f t="shared" ref="G638" si="328">G639+G642+G645+G648</f>
        <v>2219.5150000000003</v>
      </c>
      <c r="H638" s="4">
        <f t="shared" si="300"/>
        <v>97.564787064478068</v>
      </c>
    </row>
    <row r="639" spans="1:8" ht="36" hidden="1" customHeight="1" x14ac:dyDescent="0.25">
      <c r="A639" s="349" t="s">
        <v>455</v>
      </c>
      <c r="B639" s="347" t="s">
        <v>279</v>
      </c>
      <c r="C639" s="347" t="s">
        <v>228</v>
      </c>
      <c r="D639" s="347" t="s">
        <v>1032</v>
      </c>
      <c r="E639" s="347"/>
      <c r="F639" s="337">
        <f t="shared" ref="F639:G640" si="329">F640</f>
        <v>0</v>
      </c>
      <c r="G639" s="337">
        <f t="shared" si="329"/>
        <v>0</v>
      </c>
      <c r="H639" s="337" t="e">
        <f t="shared" si="300"/>
        <v>#DIV/0!</v>
      </c>
    </row>
    <row r="640" spans="1:8" ht="35.450000000000003" hidden="1" customHeight="1" x14ac:dyDescent="0.25">
      <c r="A640" s="349" t="s">
        <v>287</v>
      </c>
      <c r="B640" s="347" t="s">
        <v>279</v>
      </c>
      <c r="C640" s="347" t="s">
        <v>228</v>
      </c>
      <c r="D640" s="347" t="s">
        <v>1032</v>
      </c>
      <c r="E640" s="347" t="s">
        <v>288</v>
      </c>
      <c r="F640" s="337">
        <f>F641</f>
        <v>0</v>
      </c>
      <c r="G640" s="337">
        <f t="shared" si="329"/>
        <v>0</v>
      </c>
      <c r="H640" s="337" t="e">
        <f t="shared" si="300"/>
        <v>#DIV/0!</v>
      </c>
    </row>
    <row r="641" spans="1:8" ht="15.75" hidden="1" x14ac:dyDescent="0.25">
      <c r="A641" s="349" t="s">
        <v>289</v>
      </c>
      <c r="B641" s="347" t="s">
        <v>279</v>
      </c>
      <c r="C641" s="347" t="s">
        <v>228</v>
      </c>
      <c r="D641" s="347" t="s">
        <v>1032</v>
      </c>
      <c r="E641" s="347" t="s">
        <v>290</v>
      </c>
      <c r="F641" s="337">
        <f>'Пр.4 ведом.20'!G696</f>
        <v>0</v>
      </c>
      <c r="G641" s="337">
        <f>'Пр.4 ведом.20'!H696</f>
        <v>0</v>
      </c>
      <c r="H641" s="337" t="e">
        <f t="shared" si="300"/>
        <v>#DIV/0!</v>
      </c>
    </row>
    <row r="642" spans="1:8" ht="31.5" x14ac:dyDescent="0.25">
      <c r="A642" s="349" t="s">
        <v>293</v>
      </c>
      <c r="B642" s="347" t="s">
        <v>279</v>
      </c>
      <c r="C642" s="347" t="s">
        <v>228</v>
      </c>
      <c r="D642" s="347" t="s">
        <v>1033</v>
      </c>
      <c r="E642" s="347"/>
      <c r="F642" s="337">
        <f t="shared" ref="F642:G643" si="330">F643</f>
        <v>1322</v>
      </c>
      <c r="G642" s="337">
        <f t="shared" si="330"/>
        <v>1322</v>
      </c>
      <c r="H642" s="337">
        <f t="shared" si="300"/>
        <v>100</v>
      </c>
    </row>
    <row r="643" spans="1:8" ht="37.5" customHeight="1" x14ac:dyDescent="0.25">
      <c r="A643" s="349" t="s">
        <v>287</v>
      </c>
      <c r="B643" s="347" t="s">
        <v>279</v>
      </c>
      <c r="C643" s="347" t="s">
        <v>228</v>
      </c>
      <c r="D643" s="347" t="s">
        <v>1033</v>
      </c>
      <c r="E643" s="347" t="s">
        <v>288</v>
      </c>
      <c r="F643" s="337">
        <f>F644</f>
        <v>1322</v>
      </c>
      <c r="G643" s="337">
        <f t="shared" si="330"/>
        <v>1322</v>
      </c>
      <c r="H643" s="337">
        <f t="shared" si="300"/>
        <v>100</v>
      </c>
    </row>
    <row r="644" spans="1:8" ht="15.75" x14ac:dyDescent="0.25">
      <c r="A644" s="349" t="s">
        <v>289</v>
      </c>
      <c r="B644" s="347" t="s">
        <v>279</v>
      </c>
      <c r="C644" s="347" t="s">
        <v>228</v>
      </c>
      <c r="D644" s="347" t="s">
        <v>1033</v>
      </c>
      <c r="E644" s="347" t="s">
        <v>290</v>
      </c>
      <c r="F644" s="337">
        <f>'Пр.4 ведом.20'!G699</f>
        <v>1322</v>
      </c>
      <c r="G644" s="337">
        <f>'Пр.4 ведом.20'!H699</f>
        <v>1322</v>
      </c>
      <c r="H644" s="337">
        <f t="shared" si="300"/>
        <v>100</v>
      </c>
    </row>
    <row r="645" spans="1:8" ht="31.5" x14ac:dyDescent="0.25">
      <c r="A645" s="349" t="s">
        <v>295</v>
      </c>
      <c r="B645" s="347" t="s">
        <v>279</v>
      </c>
      <c r="C645" s="347" t="s">
        <v>228</v>
      </c>
      <c r="D645" s="347" t="s">
        <v>1034</v>
      </c>
      <c r="E645" s="347"/>
      <c r="F645" s="337">
        <f t="shared" ref="F645:G646" si="331">F646</f>
        <v>748.91399999999999</v>
      </c>
      <c r="G645" s="337">
        <f t="shared" si="331"/>
        <v>744.71500000000003</v>
      </c>
      <c r="H645" s="337">
        <f t="shared" si="300"/>
        <v>99.439321470823089</v>
      </c>
    </row>
    <row r="646" spans="1:8" ht="31.7" customHeight="1" x14ac:dyDescent="0.25">
      <c r="A646" s="349" t="s">
        <v>287</v>
      </c>
      <c r="B646" s="347" t="s">
        <v>279</v>
      </c>
      <c r="C646" s="347" t="s">
        <v>228</v>
      </c>
      <c r="D646" s="347" t="s">
        <v>1034</v>
      </c>
      <c r="E646" s="347" t="s">
        <v>288</v>
      </c>
      <c r="F646" s="337">
        <f>F647</f>
        <v>748.91399999999999</v>
      </c>
      <c r="G646" s="337">
        <f t="shared" si="331"/>
        <v>744.71500000000003</v>
      </c>
      <c r="H646" s="337">
        <f t="shared" si="300"/>
        <v>99.439321470823089</v>
      </c>
    </row>
    <row r="647" spans="1:8" ht="15.75" x14ac:dyDescent="0.25">
      <c r="A647" s="349" t="s">
        <v>289</v>
      </c>
      <c r="B647" s="347" t="s">
        <v>279</v>
      </c>
      <c r="C647" s="347" t="s">
        <v>228</v>
      </c>
      <c r="D647" s="347" t="s">
        <v>1034</v>
      </c>
      <c r="E647" s="347" t="s">
        <v>290</v>
      </c>
      <c r="F647" s="337">
        <f>'Пр.4 ведом.20'!G702</f>
        <v>748.91399999999999</v>
      </c>
      <c r="G647" s="337">
        <f>'Пр.4 ведом.20'!H702</f>
        <v>744.71500000000003</v>
      </c>
      <c r="H647" s="337">
        <f t="shared" si="300"/>
        <v>99.439321470823089</v>
      </c>
    </row>
    <row r="648" spans="1:8" ht="31.5" x14ac:dyDescent="0.25">
      <c r="A648" s="349" t="s">
        <v>297</v>
      </c>
      <c r="B648" s="347" t="s">
        <v>279</v>
      </c>
      <c r="C648" s="347" t="s">
        <v>228</v>
      </c>
      <c r="D648" s="347" t="s">
        <v>1035</v>
      </c>
      <c r="E648" s="347"/>
      <c r="F648" s="337">
        <f t="shared" ref="F648:G649" si="332">F649</f>
        <v>203.99999999999997</v>
      </c>
      <c r="G648" s="337">
        <f t="shared" si="332"/>
        <v>152.80000000000001</v>
      </c>
      <c r="H648" s="337">
        <f t="shared" si="300"/>
        <v>74.901960784313744</v>
      </c>
    </row>
    <row r="649" spans="1:8" ht="36" customHeight="1" x14ac:dyDescent="0.25">
      <c r="A649" s="349" t="s">
        <v>287</v>
      </c>
      <c r="B649" s="347" t="s">
        <v>279</v>
      </c>
      <c r="C649" s="347" t="s">
        <v>228</v>
      </c>
      <c r="D649" s="347" t="s">
        <v>1035</v>
      </c>
      <c r="E649" s="347" t="s">
        <v>288</v>
      </c>
      <c r="F649" s="337">
        <f>F650</f>
        <v>203.99999999999997</v>
      </c>
      <c r="G649" s="337">
        <f t="shared" si="332"/>
        <v>152.80000000000001</v>
      </c>
      <c r="H649" s="337">
        <f t="shared" ref="H649:H712" si="333">G649/F649*100</f>
        <v>74.901960784313744</v>
      </c>
    </row>
    <row r="650" spans="1:8" ht="15" customHeight="1" x14ac:dyDescent="0.25">
      <c r="A650" s="349" t="s">
        <v>289</v>
      </c>
      <c r="B650" s="347" t="s">
        <v>279</v>
      </c>
      <c r="C650" s="347" t="s">
        <v>228</v>
      </c>
      <c r="D650" s="347" t="s">
        <v>1035</v>
      </c>
      <c r="E650" s="347" t="s">
        <v>290</v>
      </c>
      <c r="F650" s="337">
        <f>'Пр.4 ведом.20'!G705</f>
        <v>203.99999999999997</v>
      </c>
      <c r="G650" s="337">
        <f>'Пр.4 ведом.20'!H705</f>
        <v>152.80000000000001</v>
      </c>
      <c r="H650" s="337">
        <f t="shared" si="333"/>
        <v>74.901960784313744</v>
      </c>
    </row>
    <row r="651" spans="1:8" ht="35.450000000000003" customHeight="1" x14ac:dyDescent="0.25">
      <c r="A651" s="318" t="s">
        <v>1029</v>
      </c>
      <c r="B651" s="319" t="s">
        <v>279</v>
      </c>
      <c r="C651" s="319" t="s">
        <v>228</v>
      </c>
      <c r="D651" s="319" t="s">
        <v>1030</v>
      </c>
      <c r="E651" s="319"/>
      <c r="F651" s="4">
        <f>F652+F655</f>
        <v>3117.88</v>
      </c>
      <c r="G651" s="4">
        <f t="shared" ref="G651" si="334">G652+G655</f>
        <v>2110.8838500000002</v>
      </c>
      <c r="H651" s="4">
        <f t="shared" si="333"/>
        <v>67.702536659525066</v>
      </c>
    </row>
    <row r="652" spans="1:8" s="210" customFormat="1" ht="49.7" customHeight="1" x14ac:dyDescent="0.25">
      <c r="A652" s="323" t="s">
        <v>617</v>
      </c>
      <c r="B652" s="347" t="s">
        <v>279</v>
      </c>
      <c r="C652" s="347" t="s">
        <v>228</v>
      </c>
      <c r="D652" s="347" t="s">
        <v>1036</v>
      </c>
      <c r="E652" s="347"/>
      <c r="F652" s="337">
        <f>F653</f>
        <v>1452.6799999999998</v>
      </c>
      <c r="G652" s="337">
        <f t="shared" ref="G652:G653" si="335">G653</f>
        <v>1028.249</v>
      </c>
      <c r="H652" s="337">
        <f t="shared" si="333"/>
        <v>70.782897816449605</v>
      </c>
    </row>
    <row r="653" spans="1:8" s="210" customFormat="1" ht="38.25" customHeight="1" x14ac:dyDescent="0.25">
      <c r="A653" s="349" t="s">
        <v>287</v>
      </c>
      <c r="B653" s="347" t="s">
        <v>279</v>
      </c>
      <c r="C653" s="347" t="s">
        <v>228</v>
      </c>
      <c r="D653" s="347" t="s">
        <v>1036</v>
      </c>
      <c r="E653" s="347" t="s">
        <v>288</v>
      </c>
      <c r="F653" s="337">
        <f>F654</f>
        <v>1452.6799999999998</v>
      </c>
      <c r="G653" s="337">
        <f t="shared" si="335"/>
        <v>1028.249</v>
      </c>
      <c r="H653" s="337">
        <f t="shared" si="333"/>
        <v>70.782897816449605</v>
      </c>
    </row>
    <row r="654" spans="1:8" s="210" customFormat="1" ht="14.25" customHeight="1" x14ac:dyDescent="0.25">
      <c r="A654" s="349" t="s">
        <v>289</v>
      </c>
      <c r="B654" s="347" t="s">
        <v>279</v>
      </c>
      <c r="C654" s="347" t="s">
        <v>228</v>
      </c>
      <c r="D654" s="347" t="s">
        <v>1036</v>
      </c>
      <c r="E654" s="347" t="s">
        <v>290</v>
      </c>
      <c r="F654" s="337">
        <f>'Пр.4 ведом.20'!G709</f>
        <v>1452.6799999999998</v>
      </c>
      <c r="G654" s="337">
        <f>'Пр.4 ведом.20'!H709</f>
        <v>1028.249</v>
      </c>
      <c r="H654" s="337">
        <f t="shared" si="333"/>
        <v>70.782897816449605</v>
      </c>
    </row>
    <row r="655" spans="1:8" ht="30.75" customHeight="1" x14ac:dyDescent="0.25">
      <c r="A655" s="349" t="s">
        <v>471</v>
      </c>
      <c r="B655" s="347" t="s">
        <v>279</v>
      </c>
      <c r="C655" s="347" t="s">
        <v>228</v>
      </c>
      <c r="D655" s="347" t="s">
        <v>1037</v>
      </c>
      <c r="E655" s="347"/>
      <c r="F655" s="337">
        <f>F656</f>
        <v>1665.2</v>
      </c>
      <c r="G655" s="337">
        <f t="shared" ref="G655:G656" si="336">G656</f>
        <v>1082.6348499999999</v>
      </c>
      <c r="H655" s="337">
        <f t="shared" si="333"/>
        <v>65.015304467931784</v>
      </c>
    </row>
    <row r="656" spans="1:8" ht="35.450000000000003" customHeight="1" x14ac:dyDescent="0.25">
      <c r="A656" s="349" t="s">
        <v>287</v>
      </c>
      <c r="B656" s="347" t="s">
        <v>279</v>
      </c>
      <c r="C656" s="347" t="s">
        <v>228</v>
      </c>
      <c r="D656" s="347" t="s">
        <v>1037</v>
      </c>
      <c r="E656" s="347" t="s">
        <v>288</v>
      </c>
      <c r="F656" s="337">
        <f>F657</f>
        <v>1665.2</v>
      </c>
      <c r="G656" s="337">
        <f t="shared" si="336"/>
        <v>1082.6348499999999</v>
      </c>
      <c r="H656" s="337">
        <f t="shared" si="333"/>
        <v>65.015304467931784</v>
      </c>
    </row>
    <row r="657" spans="1:8" ht="18" customHeight="1" x14ac:dyDescent="0.25">
      <c r="A657" s="349" t="s">
        <v>289</v>
      </c>
      <c r="B657" s="347" t="s">
        <v>279</v>
      </c>
      <c r="C657" s="347" t="s">
        <v>228</v>
      </c>
      <c r="D657" s="347" t="s">
        <v>1037</v>
      </c>
      <c r="E657" s="347" t="s">
        <v>290</v>
      </c>
      <c r="F657" s="337">
        <f>'Пр.4 ведом.20'!G712</f>
        <v>1665.2</v>
      </c>
      <c r="G657" s="337">
        <f>'Пр.4 ведом.20'!H712</f>
        <v>1082.6348499999999</v>
      </c>
      <c r="H657" s="337">
        <f t="shared" si="333"/>
        <v>65.015304467931784</v>
      </c>
    </row>
    <row r="658" spans="1:8" ht="32.25" customHeight="1" x14ac:dyDescent="0.25">
      <c r="A658" s="318" t="s">
        <v>1031</v>
      </c>
      <c r="B658" s="319" t="s">
        <v>279</v>
      </c>
      <c r="C658" s="319" t="s">
        <v>228</v>
      </c>
      <c r="D658" s="319" t="s">
        <v>1038</v>
      </c>
      <c r="E658" s="319"/>
      <c r="F658" s="4">
        <f>F659+F662</f>
        <v>1364.7</v>
      </c>
      <c r="G658" s="4">
        <f t="shared" ref="G658" si="337">G659+G662</f>
        <v>1144.6334999999999</v>
      </c>
      <c r="H658" s="4">
        <f t="shared" si="333"/>
        <v>83.874367992965489</v>
      </c>
    </row>
    <row r="659" spans="1:8" ht="48.75" customHeight="1" x14ac:dyDescent="0.25">
      <c r="A659" s="349" t="s">
        <v>453</v>
      </c>
      <c r="B659" s="347" t="s">
        <v>279</v>
      </c>
      <c r="C659" s="347" t="s">
        <v>228</v>
      </c>
      <c r="D659" s="347" t="s">
        <v>1039</v>
      </c>
      <c r="E659" s="347"/>
      <c r="F659" s="337">
        <f>F660</f>
        <v>868</v>
      </c>
      <c r="G659" s="337">
        <f t="shared" ref="G659:G660" si="338">G660</f>
        <v>826.17520000000002</v>
      </c>
      <c r="H659" s="337">
        <f t="shared" si="333"/>
        <v>95.18147465437788</v>
      </c>
    </row>
    <row r="660" spans="1:8" ht="37.5" customHeight="1" x14ac:dyDescent="0.25">
      <c r="A660" s="349" t="s">
        <v>287</v>
      </c>
      <c r="B660" s="347" t="s">
        <v>279</v>
      </c>
      <c r="C660" s="347" t="s">
        <v>228</v>
      </c>
      <c r="D660" s="347" t="s">
        <v>1039</v>
      </c>
      <c r="E660" s="347" t="s">
        <v>288</v>
      </c>
      <c r="F660" s="337">
        <f>F661</f>
        <v>868</v>
      </c>
      <c r="G660" s="337">
        <f t="shared" si="338"/>
        <v>826.17520000000002</v>
      </c>
      <c r="H660" s="337">
        <f t="shared" si="333"/>
        <v>95.18147465437788</v>
      </c>
    </row>
    <row r="661" spans="1:8" ht="15" customHeight="1" x14ac:dyDescent="0.25">
      <c r="A661" s="349" t="s">
        <v>289</v>
      </c>
      <c r="B661" s="347" t="s">
        <v>279</v>
      </c>
      <c r="C661" s="347" t="s">
        <v>228</v>
      </c>
      <c r="D661" s="347" t="s">
        <v>1039</v>
      </c>
      <c r="E661" s="347" t="s">
        <v>290</v>
      </c>
      <c r="F661" s="337">
        <f>'Пр.4 ведом.20'!G716</f>
        <v>868</v>
      </c>
      <c r="G661" s="337">
        <f>'Пр.4 ведом.20'!H716</f>
        <v>826.17520000000002</v>
      </c>
      <c r="H661" s="337">
        <f t="shared" si="333"/>
        <v>95.18147465437788</v>
      </c>
    </row>
    <row r="662" spans="1:8" ht="54" customHeight="1" x14ac:dyDescent="0.25">
      <c r="A662" s="349" t="s">
        <v>473</v>
      </c>
      <c r="B662" s="347" t="s">
        <v>279</v>
      </c>
      <c r="C662" s="347" t="s">
        <v>228</v>
      </c>
      <c r="D662" s="347" t="s">
        <v>1040</v>
      </c>
      <c r="E662" s="347"/>
      <c r="F662" s="337">
        <f>F663</f>
        <v>496.7</v>
      </c>
      <c r="G662" s="337">
        <f t="shared" ref="G662:G663" si="339">G663</f>
        <v>318.45830000000001</v>
      </c>
      <c r="H662" s="337">
        <f t="shared" si="333"/>
        <v>64.11481779746326</v>
      </c>
    </row>
    <row r="663" spans="1:8" ht="36" customHeight="1" x14ac:dyDescent="0.25">
      <c r="A663" s="264" t="s">
        <v>287</v>
      </c>
      <c r="B663" s="347" t="s">
        <v>279</v>
      </c>
      <c r="C663" s="347" t="s">
        <v>228</v>
      </c>
      <c r="D663" s="347" t="s">
        <v>1040</v>
      </c>
      <c r="E663" s="347" t="s">
        <v>288</v>
      </c>
      <c r="F663" s="337">
        <f>F664</f>
        <v>496.7</v>
      </c>
      <c r="G663" s="337">
        <f t="shared" si="339"/>
        <v>318.45830000000001</v>
      </c>
      <c r="H663" s="337">
        <f t="shared" si="333"/>
        <v>64.11481779746326</v>
      </c>
    </row>
    <row r="664" spans="1:8" ht="15.75" x14ac:dyDescent="0.25">
      <c r="A664" s="349" t="s">
        <v>289</v>
      </c>
      <c r="B664" s="347" t="s">
        <v>279</v>
      </c>
      <c r="C664" s="347" t="s">
        <v>228</v>
      </c>
      <c r="D664" s="347" t="s">
        <v>1040</v>
      </c>
      <c r="E664" s="347" t="s">
        <v>290</v>
      </c>
      <c r="F664" s="337">
        <f>'Пр.4 ведом.20'!G719</f>
        <v>496.7</v>
      </c>
      <c r="G664" s="337">
        <f>'Пр.4 ведом.20'!H719</f>
        <v>318.45830000000001</v>
      </c>
      <c r="H664" s="337">
        <f t="shared" si="333"/>
        <v>64.11481779746326</v>
      </c>
    </row>
    <row r="665" spans="1:8" ht="31.5" x14ac:dyDescent="0.25">
      <c r="A665" s="224" t="s">
        <v>1075</v>
      </c>
      <c r="B665" s="319" t="s">
        <v>279</v>
      </c>
      <c r="C665" s="319" t="s">
        <v>228</v>
      </c>
      <c r="D665" s="319" t="s">
        <v>1041</v>
      </c>
      <c r="E665" s="319"/>
      <c r="F665" s="4">
        <f>F666+F669</f>
        <v>2794.6160000000004</v>
      </c>
      <c r="G665" s="4">
        <f t="shared" ref="G665" si="340">G666+G669</f>
        <v>2725.6334299999999</v>
      </c>
      <c r="H665" s="4">
        <f t="shared" si="333"/>
        <v>97.531590386657754</v>
      </c>
    </row>
    <row r="666" spans="1:8" ht="33.75" customHeight="1" x14ac:dyDescent="0.25">
      <c r="A666" s="349" t="s">
        <v>299</v>
      </c>
      <c r="B666" s="347" t="s">
        <v>279</v>
      </c>
      <c r="C666" s="347" t="s">
        <v>228</v>
      </c>
      <c r="D666" s="347" t="s">
        <v>1043</v>
      </c>
      <c r="E666" s="347"/>
      <c r="F666" s="337">
        <f t="shared" ref="F666:G667" si="341">F667</f>
        <v>32.32</v>
      </c>
      <c r="G666" s="337">
        <f t="shared" si="341"/>
        <v>32.314</v>
      </c>
      <c r="H666" s="337">
        <f t="shared" si="333"/>
        <v>99.981435643564353</v>
      </c>
    </row>
    <row r="667" spans="1:8" ht="33.75" customHeight="1" x14ac:dyDescent="0.25">
      <c r="A667" s="349" t="s">
        <v>287</v>
      </c>
      <c r="B667" s="347" t="s">
        <v>279</v>
      </c>
      <c r="C667" s="347" t="s">
        <v>228</v>
      </c>
      <c r="D667" s="347" t="s">
        <v>1043</v>
      </c>
      <c r="E667" s="347" t="s">
        <v>288</v>
      </c>
      <c r="F667" s="337">
        <f t="shared" si="341"/>
        <v>32.32</v>
      </c>
      <c r="G667" s="337">
        <f t="shared" si="341"/>
        <v>32.314</v>
      </c>
      <c r="H667" s="337">
        <f t="shared" si="333"/>
        <v>99.981435643564353</v>
      </c>
    </row>
    <row r="668" spans="1:8" ht="15.75" customHeight="1" x14ac:dyDescent="0.25">
      <c r="A668" s="349" t="s">
        <v>289</v>
      </c>
      <c r="B668" s="347" t="s">
        <v>279</v>
      </c>
      <c r="C668" s="347" t="s">
        <v>228</v>
      </c>
      <c r="D668" s="347" t="s">
        <v>1043</v>
      </c>
      <c r="E668" s="347" t="s">
        <v>290</v>
      </c>
      <c r="F668" s="337">
        <f>'Пр.4 ведом.20'!G723</f>
        <v>32.32</v>
      </c>
      <c r="G668" s="337">
        <f>'Пр.4 ведом.20'!H723</f>
        <v>32.314</v>
      </c>
      <c r="H668" s="337">
        <f t="shared" si="333"/>
        <v>99.981435643564353</v>
      </c>
    </row>
    <row r="669" spans="1:8" ht="36" customHeight="1" x14ac:dyDescent="0.25">
      <c r="A669" s="60" t="s">
        <v>785</v>
      </c>
      <c r="B669" s="347" t="s">
        <v>279</v>
      </c>
      <c r="C669" s="347" t="s">
        <v>228</v>
      </c>
      <c r="D669" s="347" t="s">
        <v>1044</v>
      </c>
      <c r="E669" s="347"/>
      <c r="F669" s="337">
        <f t="shared" ref="F669:G670" si="342">F670</f>
        <v>2762.2960000000003</v>
      </c>
      <c r="G669" s="337">
        <f t="shared" si="342"/>
        <v>2693.31943</v>
      </c>
      <c r="H669" s="337">
        <f t="shared" si="333"/>
        <v>97.50292618893846</v>
      </c>
    </row>
    <row r="670" spans="1:8" ht="33.75" customHeight="1" x14ac:dyDescent="0.25">
      <c r="A670" s="323" t="s">
        <v>287</v>
      </c>
      <c r="B670" s="347" t="s">
        <v>279</v>
      </c>
      <c r="C670" s="347" t="s">
        <v>228</v>
      </c>
      <c r="D670" s="347" t="s">
        <v>1044</v>
      </c>
      <c r="E670" s="347" t="s">
        <v>288</v>
      </c>
      <c r="F670" s="337">
        <f t="shared" si="342"/>
        <v>2762.2960000000003</v>
      </c>
      <c r="G670" s="337">
        <f t="shared" si="342"/>
        <v>2693.31943</v>
      </c>
      <c r="H670" s="337">
        <f t="shared" si="333"/>
        <v>97.50292618893846</v>
      </c>
    </row>
    <row r="671" spans="1:8" ht="15.75" customHeight="1" x14ac:dyDescent="0.25">
      <c r="A671" s="193" t="s">
        <v>289</v>
      </c>
      <c r="B671" s="347" t="s">
        <v>279</v>
      </c>
      <c r="C671" s="347" t="s">
        <v>228</v>
      </c>
      <c r="D671" s="347" t="s">
        <v>1044</v>
      </c>
      <c r="E671" s="347" t="s">
        <v>290</v>
      </c>
      <c r="F671" s="337">
        <f>'Пр.4 ведом.20'!G726</f>
        <v>2762.2960000000003</v>
      </c>
      <c r="G671" s="337">
        <f>'Пр.4 ведом.20'!H726</f>
        <v>2693.31943</v>
      </c>
      <c r="H671" s="337">
        <f t="shared" si="333"/>
        <v>97.50292618893846</v>
      </c>
    </row>
    <row r="672" spans="1:8" ht="31.7" customHeight="1" x14ac:dyDescent="0.25">
      <c r="A672" s="222" t="s">
        <v>1046</v>
      </c>
      <c r="B672" s="319" t="s">
        <v>279</v>
      </c>
      <c r="C672" s="319" t="s">
        <v>228</v>
      </c>
      <c r="D672" s="319" t="s">
        <v>1042</v>
      </c>
      <c r="E672" s="319"/>
      <c r="F672" s="4">
        <f>F673+F676</f>
        <v>685.96799999999996</v>
      </c>
      <c r="G672" s="4">
        <f t="shared" ref="G672" si="343">G673+G676</f>
        <v>681.59180000000003</v>
      </c>
      <c r="H672" s="4">
        <f t="shared" si="333"/>
        <v>99.362040211788312</v>
      </c>
    </row>
    <row r="673" spans="1:8" ht="51" customHeight="1" x14ac:dyDescent="0.25">
      <c r="A673" s="193" t="s">
        <v>872</v>
      </c>
      <c r="B673" s="347" t="s">
        <v>279</v>
      </c>
      <c r="C673" s="347" t="s">
        <v>228</v>
      </c>
      <c r="D673" s="347" t="s">
        <v>1505</v>
      </c>
      <c r="E673" s="347"/>
      <c r="F673" s="337">
        <f t="shared" ref="F673:G674" si="344">F674</f>
        <v>611.16800000000001</v>
      </c>
      <c r="G673" s="337">
        <f t="shared" si="344"/>
        <v>608.59180000000003</v>
      </c>
      <c r="H673" s="337">
        <f t="shared" si="333"/>
        <v>99.578479239750777</v>
      </c>
    </row>
    <row r="674" spans="1:8" ht="33" customHeight="1" x14ac:dyDescent="0.25">
      <c r="A674" s="31" t="s">
        <v>287</v>
      </c>
      <c r="B674" s="347" t="s">
        <v>279</v>
      </c>
      <c r="C674" s="347" t="s">
        <v>228</v>
      </c>
      <c r="D674" s="347" t="s">
        <v>1505</v>
      </c>
      <c r="E674" s="347" t="s">
        <v>288</v>
      </c>
      <c r="F674" s="337">
        <f>F675</f>
        <v>611.16800000000001</v>
      </c>
      <c r="G674" s="337">
        <f t="shared" si="344"/>
        <v>608.59180000000003</v>
      </c>
      <c r="H674" s="337">
        <f t="shared" si="333"/>
        <v>99.578479239750777</v>
      </c>
    </row>
    <row r="675" spans="1:8" ht="15.75" x14ac:dyDescent="0.25">
      <c r="A675" s="31" t="s">
        <v>289</v>
      </c>
      <c r="B675" s="347" t="s">
        <v>279</v>
      </c>
      <c r="C675" s="347" t="s">
        <v>228</v>
      </c>
      <c r="D675" s="347" t="s">
        <v>1505</v>
      </c>
      <c r="E675" s="347" t="s">
        <v>290</v>
      </c>
      <c r="F675" s="337">
        <f>'Пр.4 ведом.20'!G730</f>
        <v>611.16800000000001</v>
      </c>
      <c r="G675" s="337">
        <f>'Пр.4 ведом.20'!H730</f>
        <v>608.59180000000003</v>
      </c>
      <c r="H675" s="337">
        <f t="shared" si="333"/>
        <v>99.578479239750777</v>
      </c>
    </row>
    <row r="676" spans="1:8" s="309" customFormat="1" ht="31.5" x14ac:dyDescent="0.25">
      <c r="A676" s="31" t="s">
        <v>1504</v>
      </c>
      <c r="B676" s="347" t="s">
        <v>279</v>
      </c>
      <c r="C676" s="347" t="s">
        <v>228</v>
      </c>
      <c r="D676" s="347" t="s">
        <v>1506</v>
      </c>
      <c r="E676" s="347"/>
      <c r="F676" s="337">
        <f>F677</f>
        <v>74.8</v>
      </c>
      <c r="G676" s="337">
        <f t="shared" ref="G676:G677" si="345">G677</f>
        <v>73</v>
      </c>
      <c r="H676" s="337">
        <f t="shared" si="333"/>
        <v>97.593582887700535</v>
      </c>
    </row>
    <row r="677" spans="1:8" s="309" customFormat="1" ht="31.5" x14ac:dyDescent="0.25">
      <c r="A677" s="31" t="s">
        <v>287</v>
      </c>
      <c r="B677" s="347" t="s">
        <v>279</v>
      </c>
      <c r="C677" s="347" t="s">
        <v>228</v>
      </c>
      <c r="D677" s="347" t="s">
        <v>1506</v>
      </c>
      <c r="E677" s="347" t="s">
        <v>288</v>
      </c>
      <c r="F677" s="337">
        <f>F678</f>
        <v>74.8</v>
      </c>
      <c r="G677" s="337">
        <f t="shared" si="345"/>
        <v>73</v>
      </c>
      <c r="H677" s="337">
        <f t="shared" si="333"/>
        <v>97.593582887700535</v>
      </c>
    </row>
    <row r="678" spans="1:8" s="309" customFormat="1" ht="15.75" x14ac:dyDescent="0.25">
      <c r="A678" s="31" t="s">
        <v>289</v>
      </c>
      <c r="B678" s="347" t="s">
        <v>279</v>
      </c>
      <c r="C678" s="347" t="s">
        <v>228</v>
      </c>
      <c r="D678" s="347" t="s">
        <v>1506</v>
      </c>
      <c r="E678" s="347" t="s">
        <v>290</v>
      </c>
      <c r="F678" s="337">
        <f>'Пр.4 ведом.20'!G733</f>
        <v>74.8</v>
      </c>
      <c r="G678" s="337">
        <f>'Пр.4 ведом.20'!H733</f>
        <v>73</v>
      </c>
      <c r="H678" s="337">
        <f t="shared" si="333"/>
        <v>97.593582887700535</v>
      </c>
    </row>
    <row r="679" spans="1:8" s="336" customFormat="1" ht="31.5" x14ac:dyDescent="0.25">
      <c r="A679" s="222" t="s">
        <v>1549</v>
      </c>
      <c r="B679" s="319" t="s">
        <v>279</v>
      </c>
      <c r="C679" s="319" t="s">
        <v>228</v>
      </c>
      <c r="D679" s="319" t="s">
        <v>1540</v>
      </c>
      <c r="E679" s="319"/>
      <c r="F679" s="4">
        <f>F680+F683</f>
        <v>2369.7999999999997</v>
      </c>
      <c r="G679" s="4">
        <f t="shared" ref="G679" si="346">G680+G683</f>
        <v>2369.7999999999997</v>
      </c>
      <c r="H679" s="4">
        <f t="shared" si="333"/>
        <v>100</v>
      </c>
    </row>
    <row r="680" spans="1:8" s="336" customFormat="1" ht="31.5" x14ac:dyDescent="0.25">
      <c r="A680" s="31" t="s">
        <v>1550</v>
      </c>
      <c r="B680" s="347" t="s">
        <v>279</v>
      </c>
      <c r="C680" s="347" t="s">
        <v>228</v>
      </c>
      <c r="D680" s="347" t="s">
        <v>1541</v>
      </c>
      <c r="E680" s="347"/>
      <c r="F680" s="337">
        <f>F681</f>
        <v>94.6</v>
      </c>
      <c r="G680" s="337">
        <f t="shared" ref="G680:G681" si="347">G681</f>
        <v>94.6</v>
      </c>
      <c r="H680" s="337">
        <f t="shared" si="333"/>
        <v>100</v>
      </c>
    </row>
    <row r="681" spans="1:8" s="336" customFormat="1" ht="31.5" x14ac:dyDescent="0.25">
      <c r="A681" s="31" t="s">
        <v>287</v>
      </c>
      <c r="B681" s="347" t="s">
        <v>279</v>
      </c>
      <c r="C681" s="347" t="s">
        <v>228</v>
      </c>
      <c r="D681" s="347" t="s">
        <v>1541</v>
      </c>
      <c r="E681" s="347" t="s">
        <v>288</v>
      </c>
      <c r="F681" s="337">
        <f>F682</f>
        <v>94.6</v>
      </c>
      <c r="G681" s="337">
        <f t="shared" si="347"/>
        <v>94.6</v>
      </c>
      <c r="H681" s="337">
        <f t="shared" si="333"/>
        <v>100</v>
      </c>
    </row>
    <row r="682" spans="1:8" s="336" customFormat="1" ht="15.75" x14ac:dyDescent="0.25">
      <c r="A682" s="31" t="s">
        <v>289</v>
      </c>
      <c r="B682" s="347" t="s">
        <v>279</v>
      </c>
      <c r="C682" s="347" t="s">
        <v>228</v>
      </c>
      <c r="D682" s="347" t="s">
        <v>1541</v>
      </c>
      <c r="E682" s="347" t="s">
        <v>290</v>
      </c>
      <c r="F682" s="337">
        <f>'Пр.4 ведом.20'!G737</f>
        <v>94.6</v>
      </c>
      <c r="G682" s="337">
        <f>'Пр.4 ведом.20'!H737</f>
        <v>94.6</v>
      </c>
      <c r="H682" s="337">
        <f t="shared" si="333"/>
        <v>100</v>
      </c>
    </row>
    <row r="683" spans="1:8" s="336" customFormat="1" ht="31.5" x14ac:dyDescent="0.25">
      <c r="A683" s="31" t="s">
        <v>1551</v>
      </c>
      <c r="B683" s="347" t="s">
        <v>279</v>
      </c>
      <c r="C683" s="347" t="s">
        <v>228</v>
      </c>
      <c r="D683" s="347" t="s">
        <v>1542</v>
      </c>
      <c r="E683" s="347"/>
      <c r="F683" s="337">
        <f>F684</f>
        <v>2275.1999999999998</v>
      </c>
      <c r="G683" s="337">
        <f t="shared" ref="G683:G684" si="348">G684</f>
        <v>2275.1999999999998</v>
      </c>
      <c r="H683" s="337">
        <f t="shared" si="333"/>
        <v>100</v>
      </c>
    </row>
    <row r="684" spans="1:8" s="336" customFormat="1" ht="31.5" x14ac:dyDescent="0.25">
      <c r="A684" s="31" t="s">
        <v>287</v>
      </c>
      <c r="B684" s="347" t="s">
        <v>279</v>
      </c>
      <c r="C684" s="347" t="s">
        <v>228</v>
      </c>
      <c r="D684" s="347" t="s">
        <v>1542</v>
      </c>
      <c r="E684" s="347" t="s">
        <v>288</v>
      </c>
      <c r="F684" s="337">
        <f>F685</f>
        <v>2275.1999999999998</v>
      </c>
      <c r="G684" s="337">
        <f t="shared" si="348"/>
        <v>2275.1999999999998</v>
      </c>
      <c r="H684" s="337">
        <f t="shared" si="333"/>
        <v>100</v>
      </c>
    </row>
    <row r="685" spans="1:8" s="336" customFormat="1" ht="15.75" x14ac:dyDescent="0.25">
      <c r="A685" s="31" t="s">
        <v>289</v>
      </c>
      <c r="B685" s="347" t="s">
        <v>279</v>
      </c>
      <c r="C685" s="347" t="s">
        <v>228</v>
      </c>
      <c r="D685" s="347" t="s">
        <v>1542</v>
      </c>
      <c r="E685" s="347" t="s">
        <v>290</v>
      </c>
      <c r="F685" s="337">
        <f>'Пр.4 ведом.20'!G740</f>
        <v>2275.1999999999998</v>
      </c>
      <c r="G685" s="337">
        <f>'Пр.4 ведом.20'!H740</f>
        <v>2275.1999999999998</v>
      </c>
      <c r="H685" s="337">
        <f t="shared" si="333"/>
        <v>100</v>
      </c>
    </row>
    <row r="686" spans="1:8" s="336" customFormat="1" ht="31.5" x14ac:dyDescent="0.25">
      <c r="A686" s="222" t="s">
        <v>1543</v>
      </c>
      <c r="B686" s="319" t="s">
        <v>279</v>
      </c>
      <c r="C686" s="319" t="s">
        <v>228</v>
      </c>
      <c r="D686" s="319" t="s">
        <v>1546</v>
      </c>
      <c r="E686" s="319"/>
      <c r="F686" s="4">
        <f>F687+F690</f>
        <v>641.29999999999995</v>
      </c>
      <c r="G686" s="4">
        <f t="shared" ref="G686" si="349">G687+G690</f>
        <v>634.20000000000005</v>
      </c>
      <c r="H686" s="4">
        <f t="shared" si="333"/>
        <v>98.892873849992213</v>
      </c>
    </row>
    <row r="687" spans="1:8" s="336" customFormat="1" ht="47.25" x14ac:dyDescent="0.25">
      <c r="A687" s="31" t="s">
        <v>1544</v>
      </c>
      <c r="B687" s="347" t="s">
        <v>279</v>
      </c>
      <c r="C687" s="347" t="s">
        <v>228</v>
      </c>
      <c r="D687" s="347" t="s">
        <v>1547</v>
      </c>
      <c r="E687" s="347"/>
      <c r="F687" s="337">
        <f>F688</f>
        <v>26.3</v>
      </c>
      <c r="G687" s="337">
        <f t="shared" ref="G687:G688" si="350">G688</f>
        <v>19.2</v>
      </c>
      <c r="H687" s="337">
        <f t="shared" si="333"/>
        <v>73.003802281368806</v>
      </c>
    </row>
    <row r="688" spans="1:8" s="336" customFormat="1" ht="31.5" x14ac:dyDescent="0.25">
      <c r="A688" s="31" t="s">
        <v>287</v>
      </c>
      <c r="B688" s="347" t="s">
        <v>279</v>
      </c>
      <c r="C688" s="347" t="s">
        <v>228</v>
      </c>
      <c r="D688" s="347" t="s">
        <v>1547</v>
      </c>
      <c r="E688" s="347" t="s">
        <v>288</v>
      </c>
      <c r="F688" s="337">
        <f>F689</f>
        <v>26.3</v>
      </c>
      <c r="G688" s="337">
        <f t="shared" si="350"/>
        <v>19.2</v>
      </c>
      <c r="H688" s="337">
        <f t="shared" si="333"/>
        <v>73.003802281368806</v>
      </c>
    </row>
    <row r="689" spans="1:8" s="336" customFormat="1" ht="15.75" x14ac:dyDescent="0.25">
      <c r="A689" s="31" t="s">
        <v>289</v>
      </c>
      <c r="B689" s="347" t="s">
        <v>279</v>
      </c>
      <c r="C689" s="347" t="s">
        <v>228</v>
      </c>
      <c r="D689" s="347" t="s">
        <v>1547</v>
      </c>
      <c r="E689" s="347" t="s">
        <v>290</v>
      </c>
      <c r="F689" s="337">
        <f>'Пр.4 ведом.20'!G744</f>
        <v>26.3</v>
      </c>
      <c r="G689" s="337">
        <f>'Пр.4 ведом.20'!H744</f>
        <v>19.2</v>
      </c>
      <c r="H689" s="337">
        <f t="shared" si="333"/>
        <v>73.003802281368806</v>
      </c>
    </row>
    <row r="690" spans="1:8" s="336" customFormat="1" ht="31.5" x14ac:dyDescent="0.25">
      <c r="A690" s="31" t="s">
        <v>1545</v>
      </c>
      <c r="B690" s="347" t="s">
        <v>279</v>
      </c>
      <c r="C690" s="347" t="s">
        <v>228</v>
      </c>
      <c r="D690" s="347" t="s">
        <v>1548</v>
      </c>
      <c r="E690" s="347"/>
      <c r="F690" s="337">
        <f>F691</f>
        <v>615</v>
      </c>
      <c r="G690" s="337">
        <f t="shared" ref="G690:G691" si="351">G691</f>
        <v>615</v>
      </c>
      <c r="H690" s="337">
        <f t="shared" si="333"/>
        <v>100</v>
      </c>
    </row>
    <row r="691" spans="1:8" s="336" customFormat="1" ht="31.5" x14ac:dyDescent="0.25">
      <c r="A691" s="31" t="s">
        <v>287</v>
      </c>
      <c r="B691" s="347" t="s">
        <v>279</v>
      </c>
      <c r="C691" s="347" t="s">
        <v>228</v>
      </c>
      <c r="D691" s="347" t="s">
        <v>1548</v>
      </c>
      <c r="E691" s="347" t="s">
        <v>288</v>
      </c>
      <c r="F691" s="337">
        <f>F692</f>
        <v>615</v>
      </c>
      <c r="G691" s="337">
        <f t="shared" si="351"/>
        <v>615</v>
      </c>
      <c r="H691" s="337">
        <f t="shared" si="333"/>
        <v>100</v>
      </c>
    </row>
    <row r="692" spans="1:8" s="336" customFormat="1" ht="15.75" x14ac:dyDescent="0.25">
      <c r="A692" s="31" t="s">
        <v>289</v>
      </c>
      <c r="B692" s="347" t="s">
        <v>279</v>
      </c>
      <c r="C692" s="347" t="s">
        <v>228</v>
      </c>
      <c r="D692" s="347" t="s">
        <v>1548</v>
      </c>
      <c r="E692" s="347" t="s">
        <v>290</v>
      </c>
      <c r="F692" s="337">
        <f>'Пр.4 ведом.20'!G747</f>
        <v>615</v>
      </c>
      <c r="G692" s="337">
        <f>'Пр.4 ведом.20'!H747</f>
        <v>615</v>
      </c>
      <c r="H692" s="337">
        <f t="shared" si="333"/>
        <v>100</v>
      </c>
    </row>
    <row r="693" spans="1:8" s="336" customFormat="1" ht="31.5" x14ac:dyDescent="0.25">
      <c r="A693" s="342" t="s">
        <v>1552</v>
      </c>
      <c r="B693" s="319" t="s">
        <v>279</v>
      </c>
      <c r="C693" s="319" t="s">
        <v>228</v>
      </c>
      <c r="D693" s="319" t="s">
        <v>1553</v>
      </c>
      <c r="E693" s="319"/>
      <c r="F693" s="4">
        <f>F694+F697</f>
        <v>1975.75</v>
      </c>
      <c r="G693" s="4">
        <f t="shared" ref="G693" si="352">G694+G697</f>
        <v>1567.4092000000001</v>
      </c>
      <c r="H693" s="4">
        <f t="shared" si="333"/>
        <v>79.332364924712138</v>
      </c>
    </row>
    <row r="694" spans="1:8" s="336" customFormat="1" ht="63" hidden="1" x14ac:dyDescent="0.25">
      <c r="A694" s="341" t="s">
        <v>1554</v>
      </c>
      <c r="B694" s="347" t="s">
        <v>279</v>
      </c>
      <c r="C694" s="347" t="s">
        <v>228</v>
      </c>
      <c r="D694" s="347" t="s">
        <v>1555</v>
      </c>
      <c r="E694" s="347"/>
      <c r="F694" s="337">
        <f>F695</f>
        <v>0</v>
      </c>
      <c r="G694" s="337">
        <f t="shared" ref="G694:G695" si="353">G695</f>
        <v>0</v>
      </c>
      <c r="H694" s="337" t="e">
        <f t="shared" si="333"/>
        <v>#DIV/0!</v>
      </c>
    </row>
    <row r="695" spans="1:8" s="336" customFormat="1" ht="31.5" hidden="1" x14ac:dyDescent="0.25">
      <c r="A695" s="31" t="s">
        <v>287</v>
      </c>
      <c r="B695" s="347" t="s">
        <v>279</v>
      </c>
      <c r="C695" s="347" t="s">
        <v>228</v>
      </c>
      <c r="D695" s="347" t="s">
        <v>1555</v>
      </c>
      <c r="E695" s="347" t="s">
        <v>288</v>
      </c>
      <c r="F695" s="337">
        <f>F696</f>
        <v>0</v>
      </c>
      <c r="G695" s="337">
        <f t="shared" si="353"/>
        <v>0</v>
      </c>
      <c r="H695" s="337" t="e">
        <f t="shared" si="333"/>
        <v>#DIV/0!</v>
      </c>
    </row>
    <row r="696" spans="1:8" s="336" customFormat="1" ht="15.75" hidden="1" x14ac:dyDescent="0.25">
      <c r="A696" s="31" t="s">
        <v>289</v>
      </c>
      <c r="B696" s="347" t="s">
        <v>279</v>
      </c>
      <c r="C696" s="347" t="s">
        <v>228</v>
      </c>
      <c r="D696" s="347" t="s">
        <v>1555</v>
      </c>
      <c r="E696" s="347" t="s">
        <v>290</v>
      </c>
      <c r="F696" s="337">
        <f>'Пр.4 ведом.20'!G751</f>
        <v>0</v>
      </c>
      <c r="G696" s="337">
        <f>'Пр.4 ведом.20'!H751</f>
        <v>0</v>
      </c>
      <c r="H696" s="337" t="e">
        <f t="shared" si="333"/>
        <v>#DIV/0!</v>
      </c>
    </row>
    <row r="697" spans="1:8" s="336" customFormat="1" ht="63" x14ac:dyDescent="0.25">
      <c r="A697" s="341" t="s">
        <v>1556</v>
      </c>
      <c r="B697" s="347" t="s">
        <v>279</v>
      </c>
      <c r="C697" s="347" t="s">
        <v>228</v>
      </c>
      <c r="D697" s="347" t="s">
        <v>1566</v>
      </c>
      <c r="E697" s="347"/>
      <c r="F697" s="337">
        <f>F698</f>
        <v>1975.75</v>
      </c>
      <c r="G697" s="337">
        <f t="shared" ref="G697:G698" si="354">G698</f>
        <v>1567.4092000000001</v>
      </c>
      <c r="H697" s="337">
        <f t="shared" si="333"/>
        <v>79.332364924712138</v>
      </c>
    </row>
    <row r="698" spans="1:8" s="336" customFormat="1" ht="31.5" x14ac:dyDescent="0.25">
      <c r="A698" s="31" t="s">
        <v>287</v>
      </c>
      <c r="B698" s="347" t="s">
        <v>279</v>
      </c>
      <c r="C698" s="347" t="s">
        <v>228</v>
      </c>
      <c r="D698" s="347" t="s">
        <v>1566</v>
      </c>
      <c r="E698" s="347" t="s">
        <v>288</v>
      </c>
      <c r="F698" s="337">
        <f>F699</f>
        <v>1975.75</v>
      </c>
      <c r="G698" s="337">
        <f t="shared" si="354"/>
        <v>1567.4092000000001</v>
      </c>
      <c r="H698" s="337">
        <f t="shared" si="333"/>
        <v>79.332364924712138</v>
      </c>
    </row>
    <row r="699" spans="1:8" s="336" customFormat="1" ht="15.75" x14ac:dyDescent="0.25">
      <c r="A699" s="31" t="s">
        <v>289</v>
      </c>
      <c r="B699" s="347" t="s">
        <v>279</v>
      </c>
      <c r="C699" s="347" t="s">
        <v>228</v>
      </c>
      <c r="D699" s="347" t="s">
        <v>1566</v>
      </c>
      <c r="E699" s="347" t="s">
        <v>290</v>
      </c>
      <c r="F699" s="337">
        <f>'Пр.4 ведом.20'!G754</f>
        <v>1975.75</v>
      </c>
      <c r="G699" s="337">
        <f>'Пр.4 ведом.20'!H754</f>
        <v>1567.4092000000001</v>
      </c>
      <c r="H699" s="337">
        <f t="shared" si="333"/>
        <v>79.332364924712138</v>
      </c>
    </row>
    <row r="700" spans="1:8" s="309" customFormat="1" ht="47.25" x14ac:dyDescent="0.25">
      <c r="A700" s="222" t="s">
        <v>1406</v>
      </c>
      <c r="B700" s="319" t="s">
        <v>279</v>
      </c>
      <c r="C700" s="319" t="s">
        <v>228</v>
      </c>
      <c r="D700" s="319" t="s">
        <v>1404</v>
      </c>
      <c r="E700" s="319"/>
      <c r="F700" s="317">
        <f>F701+F704</f>
        <v>1164.8389999999999</v>
      </c>
      <c r="G700" s="317">
        <f t="shared" ref="G700" si="355">G701+G704</f>
        <v>1164.8389999999999</v>
      </c>
      <c r="H700" s="4">
        <f t="shared" si="333"/>
        <v>100</v>
      </c>
    </row>
    <row r="701" spans="1:8" s="309" customFormat="1" ht="47.25" x14ac:dyDescent="0.25">
      <c r="A701" s="193" t="s">
        <v>1445</v>
      </c>
      <c r="B701" s="347" t="s">
        <v>279</v>
      </c>
      <c r="C701" s="347" t="s">
        <v>228</v>
      </c>
      <c r="D701" s="347" t="s">
        <v>1405</v>
      </c>
      <c r="E701" s="347"/>
      <c r="F701" s="321">
        <f>F702</f>
        <v>1164.8389999999999</v>
      </c>
      <c r="G701" s="321">
        <f t="shared" ref="G701:G702" si="356">G702</f>
        <v>1164.8389999999999</v>
      </c>
      <c r="H701" s="337">
        <f t="shared" si="333"/>
        <v>100</v>
      </c>
    </row>
    <row r="702" spans="1:8" s="309" customFormat="1" ht="31.5" x14ac:dyDescent="0.25">
      <c r="A702" s="31" t="s">
        <v>287</v>
      </c>
      <c r="B702" s="347" t="s">
        <v>279</v>
      </c>
      <c r="C702" s="347" t="s">
        <v>228</v>
      </c>
      <c r="D702" s="347" t="s">
        <v>1405</v>
      </c>
      <c r="E702" s="347" t="s">
        <v>288</v>
      </c>
      <c r="F702" s="321">
        <f>F703</f>
        <v>1164.8389999999999</v>
      </c>
      <c r="G702" s="321">
        <f t="shared" si="356"/>
        <v>1164.8389999999999</v>
      </c>
      <c r="H702" s="337">
        <f t="shared" si="333"/>
        <v>100</v>
      </c>
    </row>
    <row r="703" spans="1:8" s="309" customFormat="1" ht="15.75" x14ac:dyDescent="0.25">
      <c r="A703" s="31" t="s">
        <v>289</v>
      </c>
      <c r="B703" s="347" t="s">
        <v>279</v>
      </c>
      <c r="C703" s="347" t="s">
        <v>228</v>
      </c>
      <c r="D703" s="347" t="s">
        <v>1405</v>
      </c>
      <c r="E703" s="347" t="s">
        <v>290</v>
      </c>
      <c r="F703" s="321">
        <f>'Пр.4 ведом.20'!G758</f>
        <v>1164.8389999999999</v>
      </c>
      <c r="G703" s="321">
        <f>'Пр.4 ведом.20'!H758</f>
        <v>1164.8389999999999</v>
      </c>
      <c r="H703" s="337">
        <f t="shared" si="333"/>
        <v>100</v>
      </c>
    </row>
    <row r="704" spans="1:8" s="309" customFormat="1" ht="63" hidden="1" x14ac:dyDescent="0.25">
      <c r="A704" s="193" t="s">
        <v>1524</v>
      </c>
      <c r="B704" s="347" t="s">
        <v>279</v>
      </c>
      <c r="C704" s="347" t="s">
        <v>228</v>
      </c>
      <c r="D704" s="347" t="s">
        <v>1523</v>
      </c>
      <c r="E704" s="347"/>
      <c r="F704" s="321">
        <f>F705</f>
        <v>0</v>
      </c>
      <c r="G704" s="321">
        <f t="shared" ref="G704:G705" si="357">G705</f>
        <v>0</v>
      </c>
      <c r="H704" s="337" t="e">
        <f t="shared" si="333"/>
        <v>#DIV/0!</v>
      </c>
    </row>
    <row r="705" spans="1:12" s="309" customFormat="1" ht="31.5" hidden="1" x14ac:dyDescent="0.25">
      <c r="A705" s="31" t="s">
        <v>287</v>
      </c>
      <c r="B705" s="347" t="s">
        <v>279</v>
      </c>
      <c r="C705" s="347" t="s">
        <v>228</v>
      </c>
      <c r="D705" s="347" t="s">
        <v>1523</v>
      </c>
      <c r="E705" s="347" t="s">
        <v>288</v>
      </c>
      <c r="F705" s="321">
        <f>F706</f>
        <v>0</v>
      </c>
      <c r="G705" s="321">
        <f t="shared" si="357"/>
        <v>0</v>
      </c>
      <c r="H705" s="337" t="e">
        <f t="shared" si="333"/>
        <v>#DIV/0!</v>
      </c>
    </row>
    <row r="706" spans="1:12" s="309" customFormat="1" ht="15.75" hidden="1" x14ac:dyDescent="0.25">
      <c r="A706" s="31" t="s">
        <v>289</v>
      </c>
      <c r="B706" s="347" t="s">
        <v>279</v>
      </c>
      <c r="C706" s="347" t="s">
        <v>228</v>
      </c>
      <c r="D706" s="347" t="s">
        <v>1523</v>
      </c>
      <c r="E706" s="347" t="s">
        <v>290</v>
      </c>
      <c r="F706" s="321">
        <f>'Пр.4 ведом.20'!G761</f>
        <v>0</v>
      </c>
      <c r="G706" s="321">
        <f>'Пр.4 ведом.20'!H761</f>
        <v>0</v>
      </c>
      <c r="H706" s="337" t="e">
        <f t="shared" si="333"/>
        <v>#DIV/0!</v>
      </c>
    </row>
    <row r="707" spans="1:12" ht="63" customHeight="1" x14ac:dyDescent="0.25">
      <c r="A707" s="34" t="s">
        <v>803</v>
      </c>
      <c r="B707" s="319" t="s">
        <v>279</v>
      </c>
      <c r="C707" s="319" t="s">
        <v>228</v>
      </c>
      <c r="D707" s="319" t="s">
        <v>339</v>
      </c>
      <c r="E707" s="319"/>
      <c r="F707" s="4">
        <f t="shared" ref="F707:G708" si="358">F708</f>
        <v>150</v>
      </c>
      <c r="G707" s="4">
        <f t="shared" si="358"/>
        <v>150</v>
      </c>
      <c r="H707" s="4">
        <f t="shared" si="333"/>
        <v>100</v>
      </c>
    </row>
    <row r="708" spans="1:12" ht="63" x14ac:dyDescent="0.25">
      <c r="A708" s="34" t="s">
        <v>1188</v>
      </c>
      <c r="B708" s="319" t="s">
        <v>279</v>
      </c>
      <c r="C708" s="319" t="s">
        <v>228</v>
      </c>
      <c r="D708" s="319" t="s">
        <v>1023</v>
      </c>
      <c r="E708" s="319"/>
      <c r="F708" s="4">
        <f>F709</f>
        <v>150</v>
      </c>
      <c r="G708" s="4">
        <f t="shared" si="358"/>
        <v>150</v>
      </c>
      <c r="H708" s="4">
        <f t="shared" si="333"/>
        <v>100</v>
      </c>
    </row>
    <row r="709" spans="1:12" ht="47.25" x14ac:dyDescent="0.25">
      <c r="A709" s="31" t="s">
        <v>1159</v>
      </c>
      <c r="B709" s="347" t="s">
        <v>279</v>
      </c>
      <c r="C709" s="347" t="s">
        <v>228</v>
      </c>
      <c r="D709" s="347" t="s">
        <v>1024</v>
      </c>
      <c r="E709" s="347"/>
      <c r="F709" s="337">
        <f t="shared" ref="F709:G710" si="359">F710</f>
        <v>150</v>
      </c>
      <c r="G709" s="337">
        <f t="shared" si="359"/>
        <v>150</v>
      </c>
      <c r="H709" s="337">
        <f t="shared" si="333"/>
        <v>100</v>
      </c>
    </row>
    <row r="710" spans="1:12" ht="31.5" x14ac:dyDescent="0.25">
      <c r="A710" s="31" t="s">
        <v>287</v>
      </c>
      <c r="B710" s="347" t="s">
        <v>279</v>
      </c>
      <c r="C710" s="347" t="s">
        <v>228</v>
      </c>
      <c r="D710" s="347" t="s">
        <v>1024</v>
      </c>
      <c r="E710" s="347" t="s">
        <v>288</v>
      </c>
      <c r="F710" s="337">
        <f t="shared" si="359"/>
        <v>150</v>
      </c>
      <c r="G710" s="337">
        <f t="shared" si="359"/>
        <v>150</v>
      </c>
      <c r="H710" s="337">
        <f t="shared" si="333"/>
        <v>100</v>
      </c>
    </row>
    <row r="711" spans="1:12" ht="15.75" x14ac:dyDescent="0.25">
      <c r="A711" s="31" t="s">
        <v>289</v>
      </c>
      <c r="B711" s="347" t="s">
        <v>279</v>
      </c>
      <c r="C711" s="347" t="s">
        <v>228</v>
      </c>
      <c r="D711" s="347" t="s">
        <v>1024</v>
      </c>
      <c r="E711" s="347" t="s">
        <v>290</v>
      </c>
      <c r="F711" s="337">
        <f>'Пр.4 ведом.20'!G766</f>
        <v>150</v>
      </c>
      <c r="G711" s="337">
        <f>'Пр.4 ведом.20'!H766</f>
        <v>150</v>
      </c>
      <c r="H711" s="337">
        <f t="shared" si="333"/>
        <v>100</v>
      </c>
    </row>
    <row r="712" spans="1:12" ht="63" x14ac:dyDescent="0.25">
      <c r="A712" s="41" t="s">
        <v>1177</v>
      </c>
      <c r="B712" s="319" t="s">
        <v>279</v>
      </c>
      <c r="C712" s="319" t="s">
        <v>228</v>
      </c>
      <c r="D712" s="319" t="s">
        <v>726</v>
      </c>
      <c r="E712" s="228"/>
      <c r="F712" s="4">
        <f t="shared" ref="F712:G714" si="360">F713</f>
        <v>799.26699999999994</v>
      </c>
      <c r="G712" s="4">
        <f t="shared" si="360"/>
        <v>789.82100000000003</v>
      </c>
      <c r="H712" s="4">
        <f t="shared" si="333"/>
        <v>98.818167145647209</v>
      </c>
    </row>
    <row r="713" spans="1:12" ht="47.25" x14ac:dyDescent="0.25">
      <c r="A713" s="41" t="s">
        <v>947</v>
      </c>
      <c r="B713" s="319" t="s">
        <v>279</v>
      </c>
      <c r="C713" s="319" t="s">
        <v>228</v>
      </c>
      <c r="D713" s="319" t="s">
        <v>945</v>
      </c>
      <c r="E713" s="228"/>
      <c r="F713" s="4">
        <f t="shared" si="360"/>
        <v>799.26699999999994</v>
      </c>
      <c r="G713" s="4">
        <f t="shared" si="360"/>
        <v>789.82100000000003</v>
      </c>
      <c r="H713" s="4">
        <f t="shared" ref="H713:H776" si="361">G713/F713*100</f>
        <v>98.818167145647209</v>
      </c>
    </row>
    <row r="714" spans="1:12" ht="47.25" x14ac:dyDescent="0.25">
      <c r="A714" s="99" t="s">
        <v>801</v>
      </c>
      <c r="B714" s="347" t="s">
        <v>279</v>
      </c>
      <c r="C714" s="347" t="s">
        <v>228</v>
      </c>
      <c r="D714" s="347" t="s">
        <v>1025</v>
      </c>
      <c r="E714" s="32"/>
      <c r="F714" s="337">
        <f>F715</f>
        <v>799.26699999999994</v>
      </c>
      <c r="G714" s="337">
        <f t="shared" si="360"/>
        <v>789.82100000000003</v>
      </c>
      <c r="H714" s="337">
        <f t="shared" si="361"/>
        <v>98.818167145647209</v>
      </c>
    </row>
    <row r="715" spans="1:12" ht="36.75" customHeight="1" x14ac:dyDescent="0.25">
      <c r="A715" s="323" t="s">
        <v>287</v>
      </c>
      <c r="B715" s="347" t="s">
        <v>279</v>
      </c>
      <c r="C715" s="347" t="s">
        <v>228</v>
      </c>
      <c r="D715" s="347" t="s">
        <v>1025</v>
      </c>
      <c r="E715" s="32" t="s">
        <v>288</v>
      </c>
      <c r="F715" s="337">
        <f t="shared" ref="F715:G715" si="362">F716</f>
        <v>799.26699999999994</v>
      </c>
      <c r="G715" s="337">
        <f t="shared" si="362"/>
        <v>789.82100000000003</v>
      </c>
      <c r="H715" s="337">
        <f t="shared" si="361"/>
        <v>98.818167145647209</v>
      </c>
    </row>
    <row r="716" spans="1:12" ht="15.75" x14ac:dyDescent="0.25">
      <c r="A716" s="193" t="s">
        <v>289</v>
      </c>
      <c r="B716" s="347" t="s">
        <v>279</v>
      </c>
      <c r="C716" s="347" t="s">
        <v>228</v>
      </c>
      <c r="D716" s="347" t="s">
        <v>1025</v>
      </c>
      <c r="E716" s="32" t="s">
        <v>290</v>
      </c>
      <c r="F716" s="337">
        <f>'Пр.4 ведом.20'!G771</f>
        <v>799.26699999999994</v>
      </c>
      <c r="G716" s="337">
        <f>'Пр.4 ведом.20'!H771</f>
        <v>789.82100000000003</v>
      </c>
      <c r="H716" s="337">
        <f t="shared" si="361"/>
        <v>98.818167145647209</v>
      </c>
    </row>
    <row r="717" spans="1:12" ht="15.75" x14ac:dyDescent="0.25">
      <c r="A717" s="41" t="s">
        <v>280</v>
      </c>
      <c r="B717" s="312" t="s">
        <v>279</v>
      </c>
      <c r="C717" s="312" t="s">
        <v>230</v>
      </c>
      <c r="D717" s="319"/>
      <c r="E717" s="312"/>
      <c r="F717" s="4">
        <f>F718+F749+F786</f>
        <v>52927.499999999993</v>
      </c>
      <c r="G717" s="4">
        <f t="shared" ref="G717" si="363">G718+G749+G786</f>
        <v>52372.633959999999</v>
      </c>
      <c r="H717" s="4">
        <f t="shared" si="361"/>
        <v>98.951648878182425</v>
      </c>
    </row>
    <row r="718" spans="1:12" ht="47.25" x14ac:dyDescent="0.25">
      <c r="A718" s="318" t="s">
        <v>441</v>
      </c>
      <c r="B718" s="319" t="s">
        <v>279</v>
      </c>
      <c r="C718" s="319" t="s">
        <v>230</v>
      </c>
      <c r="D718" s="319" t="s">
        <v>421</v>
      </c>
      <c r="E718" s="319"/>
      <c r="F718" s="4">
        <f>F719+F737</f>
        <v>36303.899999999994</v>
      </c>
      <c r="G718" s="4">
        <f t="shared" ref="G718" si="364">G719+G737</f>
        <v>36221.93922</v>
      </c>
      <c r="H718" s="4">
        <f t="shared" si="361"/>
        <v>99.774236982803515</v>
      </c>
      <c r="L718" s="22"/>
    </row>
    <row r="719" spans="1:12" ht="33.75" customHeight="1" x14ac:dyDescent="0.25">
      <c r="A719" s="318" t="s">
        <v>422</v>
      </c>
      <c r="B719" s="319" t="s">
        <v>279</v>
      </c>
      <c r="C719" s="319" t="s">
        <v>230</v>
      </c>
      <c r="D719" s="319" t="s">
        <v>423</v>
      </c>
      <c r="E719" s="319"/>
      <c r="F719" s="4">
        <f>F720+F724</f>
        <v>35889.699999999997</v>
      </c>
      <c r="G719" s="4">
        <f t="shared" ref="G719" si="365">G720+G724</f>
        <v>35881.17252</v>
      </c>
      <c r="H719" s="4">
        <f t="shared" si="361"/>
        <v>99.976239756810457</v>
      </c>
      <c r="L719" s="22"/>
    </row>
    <row r="720" spans="1:12" ht="31.5" x14ac:dyDescent="0.25">
      <c r="A720" s="318" t="s">
        <v>1026</v>
      </c>
      <c r="B720" s="319" t="s">
        <v>279</v>
      </c>
      <c r="C720" s="319" t="s">
        <v>230</v>
      </c>
      <c r="D720" s="319" t="s">
        <v>1004</v>
      </c>
      <c r="E720" s="319"/>
      <c r="F720" s="4">
        <f t="shared" ref="F720:G721" si="366">F721</f>
        <v>33667.5</v>
      </c>
      <c r="G720" s="4">
        <f t="shared" si="366"/>
        <v>33667.5</v>
      </c>
      <c r="H720" s="4">
        <f t="shared" si="361"/>
        <v>100</v>
      </c>
    </row>
    <row r="721" spans="1:8" ht="47.25" x14ac:dyDescent="0.25">
      <c r="A721" s="349" t="s">
        <v>285</v>
      </c>
      <c r="B721" s="347" t="s">
        <v>279</v>
      </c>
      <c r="C721" s="347" t="s">
        <v>230</v>
      </c>
      <c r="D721" s="347" t="s">
        <v>1049</v>
      </c>
      <c r="E721" s="347"/>
      <c r="F721" s="337">
        <f t="shared" si="366"/>
        <v>33667.5</v>
      </c>
      <c r="G721" s="337">
        <f t="shared" si="366"/>
        <v>33667.5</v>
      </c>
      <c r="H721" s="337">
        <f t="shared" si="361"/>
        <v>100</v>
      </c>
    </row>
    <row r="722" spans="1:8" ht="40.700000000000003" customHeight="1" x14ac:dyDescent="0.25">
      <c r="A722" s="349" t="s">
        <v>287</v>
      </c>
      <c r="B722" s="347" t="s">
        <v>279</v>
      </c>
      <c r="C722" s="347" t="s">
        <v>230</v>
      </c>
      <c r="D722" s="347" t="s">
        <v>1049</v>
      </c>
      <c r="E722" s="347" t="s">
        <v>288</v>
      </c>
      <c r="F722" s="337">
        <f>'Пр.4 ведом.20'!G778</f>
        <v>33667.5</v>
      </c>
      <c r="G722" s="337">
        <f>'Пр.4 ведом.20'!H778</f>
        <v>33667.5</v>
      </c>
      <c r="H722" s="337">
        <f t="shared" si="361"/>
        <v>100</v>
      </c>
    </row>
    <row r="723" spans="1:8" ht="15.75" x14ac:dyDescent="0.25">
      <c r="A723" s="349" t="s">
        <v>289</v>
      </c>
      <c r="B723" s="347" t="s">
        <v>279</v>
      </c>
      <c r="C723" s="347" t="s">
        <v>230</v>
      </c>
      <c r="D723" s="347" t="s">
        <v>1049</v>
      </c>
      <c r="E723" s="347" t="s">
        <v>290</v>
      </c>
      <c r="F723" s="337">
        <f>'Пр.4 ведом.20'!G778</f>
        <v>33667.5</v>
      </c>
      <c r="G723" s="337">
        <f>'Пр.4 ведом.20'!H778</f>
        <v>33667.5</v>
      </c>
      <c r="H723" s="337">
        <f t="shared" si="361"/>
        <v>100</v>
      </c>
    </row>
    <row r="724" spans="1:8" ht="47.25" x14ac:dyDescent="0.25">
      <c r="A724" s="318" t="s">
        <v>969</v>
      </c>
      <c r="B724" s="319" t="s">
        <v>279</v>
      </c>
      <c r="C724" s="319" t="s">
        <v>230</v>
      </c>
      <c r="D724" s="319" t="s">
        <v>1019</v>
      </c>
      <c r="E724" s="319"/>
      <c r="F724" s="4">
        <f>F728+F731+F734+F725</f>
        <v>2222.1999999999998</v>
      </c>
      <c r="G724" s="4">
        <f t="shared" ref="G724" si="367">G728+G731+G734+G725</f>
        <v>2213.6725200000001</v>
      </c>
      <c r="H724" s="4">
        <f t="shared" si="361"/>
        <v>99.61625956259563</v>
      </c>
    </row>
    <row r="725" spans="1:8" s="309" customFormat="1" ht="94.5" x14ac:dyDescent="0.25">
      <c r="A725" s="31" t="s">
        <v>308</v>
      </c>
      <c r="B725" s="347" t="s">
        <v>279</v>
      </c>
      <c r="C725" s="347" t="s">
        <v>230</v>
      </c>
      <c r="D725" s="347" t="s">
        <v>1507</v>
      </c>
      <c r="E725" s="347"/>
      <c r="F725" s="337">
        <f>F726</f>
        <v>816.9</v>
      </c>
      <c r="G725" s="337">
        <f t="shared" ref="G725:G726" si="368">G726</f>
        <v>816.9</v>
      </c>
      <c r="H725" s="337">
        <f t="shared" si="361"/>
        <v>100</v>
      </c>
    </row>
    <row r="726" spans="1:8" s="309" customFormat="1" ht="31.5" x14ac:dyDescent="0.25">
      <c r="A726" s="349" t="s">
        <v>287</v>
      </c>
      <c r="B726" s="347" t="s">
        <v>279</v>
      </c>
      <c r="C726" s="347" t="s">
        <v>230</v>
      </c>
      <c r="D726" s="347" t="s">
        <v>1507</v>
      </c>
      <c r="E726" s="347" t="s">
        <v>288</v>
      </c>
      <c r="F726" s="337">
        <f>F727</f>
        <v>816.9</v>
      </c>
      <c r="G726" s="337">
        <f t="shared" si="368"/>
        <v>816.9</v>
      </c>
      <c r="H726" s="337">
        <f t="shared" si="361"/>
        <v>100</v>
      </c>
    </row>
    <row r="727" spans="1:8" s="309" customFormat="1" ht="15.75" x14ac:dyDescent="0.25">
      <c r="A727" s="349" t="s">
        <v>289</v>
      </c>
      <c r="B727" s="347" t="s">
        <v>279</v>
      </c>
      <c r="C727" s="347" t="s">
        <v>230</v>
      </c>
      <c r="D727" s="347" t="s">
        <v>1507</v>
      </c>
      <c r="E727" s="347" t="s">
        <v>290</v>
      </c>
      <c r="F727" s="337">
        <f>'Пр.4 ведом.20'!G782</f>
        <v>816.9</v>
      </c>
      <c r="G727" s="337">
        <f>'Пр.4 ведом.20'!H782</f>
        <v>816.9</v>
      </c>
      <c r="H727" s="337">
        <f t="shared" si="361"/>
        <v>100</v>
      </c>
    </row>
    <row r="728" spans="1:8" ht="63" x14ac:dyDescent="0.25">
      <c r="A728" s="31" t="s">
        <v>304</v>
      </c>
      <c r="B728" s="347" t="s">
        <v>279</v>
      </c>
      <c r="C728" s="347" t="s">
        <v>230</v>
      </c>
      <c r="D728" s="347" t="s">
        <v>1018</v>
      </c>
      <c r="E728" s="347"/>
      <c r="F728" s="337">
        <f t="shared" ref="F728:G729" si="369">F729</f>
        <v>169.3</v>
      </c>
      <c r="G728" s="337">
        <f t="shared" si="369"/>
        <v>160.77431999999999</v>
      </c>
      <c r="H728" s="337">
        <f t="shared" si="361"/>
        <v>94.96415829887772</v>
      </c>
    </row>
    <row r="729" spans="1:8" ht="31.5" x14ac:dyDescent="0.25">
      <c r="A729" s="349" t="s">
        <v>287</v>
      </c>
      <c r="B729" s="347" t="s">
        <v>279</v>
      </c>
      <c r="C729" s="347" t="s">
        <v>230</v>
      </c>
      <c r="D729" s="347" t="s">
        <v>1018</v>
      </c>
      <c r="E729" s="347" t="s">
        <v>288</v>
      </c>
      <c r="F729" s="337">
        <f>F730</f>
        <v>169.3</v>
      </c>
      <c r="G729" s="337">
        <f t="shared" si="369"/>
        <v>160.77431999999999</v>
      </c>
      <c r="H729" s="337">
        <f t="shared" si="361"/>
        <v>94.96415829887772</v>
      </c>
    </row>
    <row r="730" spans="1:8" ht="15.75" x14ac:dyDescent="0.25">
      <c r="A730" s="349" t="s">
        <v>289</v>
      </c>
      <c r="B730" s="347" t="s">
        <v>279</v>
      </c>
      <c r="C730" s="347" t="s">
        <v>230</v>
      </c>
      <c r="D730" s="347" t="s">
        <v>1018</v>
      </c>
      <c r="E730" s="347" t="s">
        <v>290</v>
      </c>
      <c r="F730" s="337">
        <f>'Пр.4 ведом.20'!G785</f>
        <v>169.3</v>
      </c>
      <c r="G730" s="337">
        <f>'Пр.4 ведом.20'!H785</f>
        <v>160.77431999999999</v>
      </c>
      <c r="H730" s="337">
        <f t="shared" si="361"/>
        <v>94.96415829887772</v>
      </c>
    </row>
    <row r="731" spans="1:8" ht="63" x14ac:dyDescent="0.25">
      <c r="A731" s="31" t="s">
        <v>306</v>
      </c>
      <c r="B731" s="347" t="s">
        <v>279</v>
      </c>
      <c r="C731" s="347" t="s">
        <v>230</v>
      </c>
      <c r="D731" s="347" t="s">
        <v>1021</v>
      </c>
      <c r="E731" s="347"/>
      <c r="F731" s="337">
        <f t="shared" ref="F731:G732" si="370">F732</f>
        <v>549.5</v>
      </c>
      <c r="G731" s="337">
        <f t="shared" si="370"/>
        <v>549.4982</v>
      </c>
      <c r="H731" s="337">
        <f t="shared" si="361"/>
        <v>99.99967242948135</v>
      </c>
    </row>
    <row r="732" spans="1:8" ht="31.5" x14ac:dyDescent="0.25">
      <c r="A732" s="349" t="s">
        <v>287</v>
      </c>
      <c r="B732" s="347" t="s">
        <v>279</v>
      </c>
      <c r="C732" s="347" t="s">
        <v>230</v>
      </c>
      <c r="D732" s="347" t="s">
        <v>1021</v>
      </c>
      <c r="E732" s="347" t="s">
        <v>288</v>
      </c>
      <c r="F732" s="337">
        <f>F733</f>
        <v>549.5</v>
      </c>
      <c r="G732" s="337">
        <f t="shared" si="370"/>
        <v>549.4982</v>
      </c>
      <c r="H732" s="337">
        <f t="shared" si="361"/>
        <v>99.99967242948135</v>
      </c>
    </row>
    <row r="733" spans="1:8" ht="15.75" x14ac:dyDescent="0.25">
      <c r="A733" s="349" t="s">
        <v>289</v>
      </c>
      <c r="B733" s="347" t="s">
        <v>279</v>
      </c>
      <c r="C733" s="347" t="s">
        <v>230</v>
      </c>
      <c r="D733" s="347" t="s">
        <v>1021</v>
      </c>
      <c r="E733" s="347" t="s">
        <v>290</v>
      </c>
      <c r="F733" s="337">
        <f>'Пр.4 ведом.20'!G788</f>
        <v>549.5</v>
      </c>
      <c r="G733" s="337">
        <f>'Пр.4 ведом.20'!H788</f>
        <v>549.4982</v>
      </c>
      <c r="H733" s="337">
        <f t="shared" si="361"/>
        <v>99.99967242948135</v>
      </c>
    </row>
    <row r="734" spans="1:8" ht="94.5" x14ac:dyDescent="0.25">
      <c r="A734" s="31" t="s">
        <v>308</v>
      </c>
      <c r="B734" s="347" t="s">
        <v>279</v>
      </c>
      <c r="C734" s="347" t="s">
        <v>230</v>
      </c>
      <c r="D734" s="347" t="s">
        <v>1022</v>
      </c>
      <c r="E734" s="347"/>
      <c r="F734" s="337">
        <f>F735</f>
        <v>686.5</v>
      </c>
      <c r="G734" s="337">
        <f t="shared" ref="G734" si="371">G735</f>
        <v>686.5</v>
      </c>
      <c r="H734" s="337">
        <f t="shared" si="361"/>
        <v>100</v>
      </c>
    </row>
    <row r="735" spans="1:8" ht="31.5" x14ac:dyDescent="0.25">
      <c r="A735" s="349" t="s">
        <v>287</v>
      </c>
      <c r="B735" s="347" t="s">
        <v>279</v>
      </c>
      <c r="C735" s="347" t="s">
        <v>230</v>
      </c>
      <c r="D735" s="347" t="s">
        <v>1022</v>
      </c>
      <c r="E735" s="347" t="s">
        <v>288</v>
      </c>
      <c r="F735" s="337">
        <f t="shared" ref="F735:G735" si="372">F736</f>
        <v>686.5</v>
      </c>
      <c r="G735" s="337">
        <f t="shared" si="372"/>
        <v>686.5</v>
      </c>
      <c r="H735" s="337">
        <f t="shared" si="361"/>
        <v>100</v>
      </c>
    </row>
    <row r="736" spans="1:8" ht="15.75" x14ac:dyDescent="0.25">
      <c r="A736" s="349" t="s">
        <v>289</v>
      </c>
      <c r="B736" s="347" t="s">
        <v>279</v>
      </c>
      <c r="C736" s="347" t="s">
        <v>230</v>
      </c>
      <c r="D736" s="347" t="s">
        <v>1022</v>
      </c>
      <c r="E736" s="347" t="s">
        <v>290</v>
      </c>
      <c r="F736" s="337">
        <f>'Пр.4 ведом.20'!G791</f>
        <v>686.5</v>
      </c>
      <c r="G736" s="337">
        <f>'Пр.4 ведом.20'!H791</f>
        <v>686.5</v>
      </c>
      <c r="H736" s="337">
        <f t="shared" si="361"/>
        <v>100</v>
      </c>
    </row>
    <row r="737" spans="1:8" ht="30.2" customHeight="1" x14ac:dyDescent="0.25">
      <c r="A737" s="34" t="s">
        <v>719</v>
      </c>
      <c r="B737" s="319" t="s">
        <v>279</v>
      </c>
      <c r="C737" s="319" t="s">
        <v>230</v>
      </c>
      <c r="D737" s="319" t="s">
        <v>462</v>
      </c>
      <c r="E737" s="319"/>
      <c r="F737" s="4">
        <f>F738+F742</f>
        <v>414.2</v>
      </c>
      <c r="G737" s="4">
        <f t="shared" ref="G737" si="373">G738+G742</f>
        <v>340.76669999999996</v>
      </c>
      <c r="H737" s="4">
        <f t="shared" si="361"/>
        <v>82.271052631578939</v>
      </c>
    </row>
    <row r="738" spans="1:8" ht="31.7" customHeight="1" x14ac:dyDescent="0.25">
      <c r="A738" s="318" t="s">
        <v>1050</v>
      </c>
      <c r="B738" s="319" t="s">
        <v>279</v>
      </c>
      <c r="C738" s="319" t="s">
        <v>230</v>
      </c>
      <c r="D738" s="319" t="s">
        <v>1231</v>
      </c>
      <c r="E738" s="319"/>
      <c r="F738" s="4">
        <f>F739</f>
        <v>50</v>
      </c>
      <c r="G738" s="4">
        <f t="shared" ref="G738:G740" si="374">G739</f>
        <v>0</v>
      </c>
      <c r="H738" s="4">
        <f t="shared" si="361"/>
        <v>0</v>
      </c>
    </row>
    <row r="739" spans="1:8" ht="35.450000000000003" customHeight="1" x14ac:dyDescent="0.25">
      <c r="A739" s="349" t="s">
        <v>293</v>
      </c>
      <c r="B739" s="347" t="s">
        <v>279</v>
      </c>
      <c r="C739" s="347" t="s">
        <v>230</v>
      </c>
      <c r="D739" s="347" t="s">
        <v>1537</v>
      </c>
      <c r="E739" s="347"/>
      <c r="F739" s="337">
        <f>F740</f>
        <v>50</v>
      </c>
      <c r="G739" s="337">
        <f t="shared" si="374"/>
        <v>0</v>
      </c>
      <c r="H739" s="337">
        <f t="shared" si="361"/>
        <v>0</v>
      </c>
    </row>
    <row r="740" spans="1:8" ht="39.75" customHeight="1" x14ac:dyDescent="0.25">
      <c r="A740" s="31" t="s">
        <v>287</v>
      </c>
      <c r="B740" s="347" t="s">
        <v>279</v>
      </c>
      <c r="C740" s="347" t="s">
        <v>230</v>
      </c>
      <c r="D740" s="347" t="s">
        <v>1537</v>
      </c>
      <c r="E740" s="347" t="s">
        <v>288</v>
      </c>
      <c r="F740" s="337">
        <f>F741</f>
        <v>50</v>
      </c>
      <c r="G740" s="337">
        <f t="shared" si="374"/>
        <v>0</v>
      </c>
      <c r="H740" s="337">
        <f t="shared" si="361"/>
        <v>0</v>
      </c>
    </row>
    <row r="741" spans="1:8" ht="19.5" customHeight="1" x14ac:dyDescent="0.25">
      <c r="A741" s="31" t="s">
        <v>289</v>
      </c>
      <c r="B741" s="347" t="s">
        <v>279</v>
      </c>
      <c r="C741" s="347" t="s">
        <v>230</v>
      </c>
      <c r="D741" s="347" t="s">
        <v>1537</v>
      </c>
      <c r="E741" s="347" t="s">
        <v>290</v>
      </c>
      <c r="F741" s="337">
        <f>'Пр.4 ведом.20'!G796</f>
        <v>50</v>
      </c>
      <c r="G741" s="337">
        <f>'Пр.4 ведом.20'!H796</f>
        <v>0</v>
      </c>
      <c r="H741" s="337">
        <f t="shared" si="361"/>
        <v>0</v>
      </c>
    </row>
    <row r="742" spans="1:8" ht="33" customHeight="1" x14ac:dyDescent="0.25">
      <c r="A742" s="224" t="s">
        <v>1075</v>
      </c>
      <c r="B742" s="319" t="s">
        <v>279</v>
      </c>
      <c r="C742" s="319" t="s">
        <v>230</v>
      </c>
      <c r="D742" s="319" t="s">
        <v>1051</v>
      </c>
      <c r="E742" s="319"/>
      <c r="F742" s="4">
        <f>F746+F743</f>
        <v>364.2</v>
      </c>
      <c r="G742" s="4">
        <f t="shared" ref="G742" si="375">G746+G743</f>
        <v>340.76669999999996</v>
      </c>
      <c r="H742" s="4">
        <f t="shared" si="361"/>
        <v>93.565815485996694</v>
      </c>
    </row>
    <row r="743" spans="1:8" s="309" customFormat="1" ht="33" customHeight="1" x14ac:dyDescent="0.25">
      <c r="A743" s="335" t="s">
        <v>1538</v>
      </c>
      <c r="B743" s="347" t="s">
        <v>279</v>
      </c>
      <c r="C743" s="347" t="s">
        <v>230</v>
      </c>
      <c r="D743" s="347" t="s">
        <v>1539</v>
      </c>
      <c r="E743" s="347"/>
      <c r="F743" s="337">
        <f>F744</f>
        <v>25.2</v>
      </c>
      <c r="G743" s="337">
        <f t="shared" ref="G743:G744" si="376">G744</f>
        <v>25.128</v>
      </c>
      <c r="H743" s="337">
        <f t="shared" si="361"/>
        <v>99.714285714285722</v>
      </c>
    </row>
    <row r="744" spans="1:8" s="309" customFormat="1" ht="33" customHeight="1" x14ac:dyDescent="0.25">
      <c r="A744" s="349" t="s">
        <v>287</v>
      </c>
      <c r="B744" s="347" t="s">
        <v>279</v>
      </c>
      <c r="C744" s="347" t="s">
        <v>230</v>
      </c>
      <c r="D744" s="347" t="s">
        <v>1539</v>
      </c>
      <c r="E744" s="347" t="s">
        <v>288</v>
      </c>
      <c r="F744" s="337">
        <f>F745</f>
        <v>25.2</v>
      </c>
      <c r="G744" s="337">
        <f t="shared" si="376"/>
        <v>25.128</v>
      </c>
      <c r="H744" s="337">
        <f t="shared" si="361"/>
        <v>99.714285714285722</v>
      </c>
    </row>
    <row r="745" spans="1:8" s="309" customFormat="1" ht="33" customHeight="1" x14ac:dyDescent="0.25">
      <c r="A745" s="31" t="s">
        <v>289</v>
      </c>
      <c r="B745" s="347" t="s">
        <v>279</v>
      </c>
      <c r="C745" s="347" t="s">
        <v>230</v>
      </c>
      <c r="D745" s="347" t="s">
        <v>1539</v>
      </c>
      <c r="E745" s="347" t="s">
        <v>290</v>
      </c>
      <c r="F745" s="337">
        <f>'Пр.4 ведом.20'!G800</f>
        <v>25.2</v>
      </c>
      <c r="G745" s="337">
        <f>'Пр.4 ведом.20'!H800</f>
        <v>25.128</v>
      </c>
      <c r="H745" s="337">
        <f t="shared" si="361"/>
        <v>99.714285714285722</v>
      </c>
    </row>
    <row r="746" spans="1:8" ht="46.5" customHeight="1" x14ac:dyDescent="0.25">
      <c r="A746" s="45" t="s">
        <v>785</v>
      </c>
      <c r="B746" s="347" t="s">
        <v>279</v>
      </c>
      <c r="C746" s="347" t="s">
        <v>230</v>
      </c>
      <c r="D746" s="347" t="s">
        <v>1052</v>
      </c>
      <c r="E746" s="347"/>
      <c r="F746" s="337">
        <f>F747</f>
        <v>339</v>
      </c>
      <c r="G746" s="337">
        <f t="shared" ref="G746" si="377">G747</f>
        <v>315.63869999999997</v>
      </c>
      <c r="H746" s="337">
        <f t="shared" si="361"/>
        <v>93.108761061946893</v>
      </c>
    </row>
    <row r="747" spans="1:8" ht="31.5" x14ac:dyDescent="0.25">
      <c r="A747" s="349" t="s">
        <v>287</v>
      </c>
      <c r="B747" s="347" t="s">
        <v>279</v>
      </c>
      <c r="C747" s="347" t="s">
        <v>230</v>
      </c>
      <c r="D747" s="347" t="s">
        <v>1052</v>
      </c>
      <c r="E747" s="347" t="s">
        <v>288</v>
      </c>
      <c r="F747" s="337">
        <f t="shared" ref="F747:G747" si="378">F748</f>
        <v>339</v>
      </c>
      <c r="G747" s="337">
        <f t="shared" si="378"/>
        <v>315.63869999999997</v>
      </c>
      <c r="H747" s="337">
        <f t="shared" si="361"/>
        <v>93.108761061946893</v>
      </c>
    </row>
    <row r="748" spans="1:8" ht="15.75" x14ac:dyDescent="0.25">
      <c r="A748" s="31" t="s">
        <v>289</v>
      </c>
      <c r="B748" s="347" t="s">
        <v>279</v>
      </c>
      <c r="C748" s="347" t="s">
        <v>230</v>
      </c>
      <c r="D748" s="347" t="s">
        <v>1052</v>
      </c>
      <c r="E748" s="347" t="s">
        <v>290</v>
      </c>
      <c r="F748" s="337">
        <f>'Пр.4 ведом.20'!G803</f>
        <v>339</v>
      </c>
      <c r="G748" s="337">
        <f>'Пр.4 ведом.20'!H803</f>
        <v>315.63869999999997</v>
      </c>
      <c r="H748" s="337">
        <f t="shared" si="361"/>
        <v>93.108761061946893</v>
      </c>
    </row>
    <row r="749" spans="1:8" s="210" customFormat="1" ht="34.5" customHeight="1" x14ac:dyDescent="0.25">
      <c r="A749" s="318" t="s">
        <v>281</v>
      </c>
      <c r="B749" s="319" t="s">
        <v>279</v>
      </c>
      <c r="C749" s="319" t="s">
        <v>230</v>
      </c>
      <c r="D749" s="319" t="s">
        <v>282</v>
      </c>
      <c r="E749" s="319"/>
      <c r="F749" s="4">
        <f>F750</f>
        <v>15995.499999999998</v>
      </c>
      <c r="G749" s="4">
        <f t="shared" ref="G749" si="379">G750</f>
        <v>15536.00756</v>
      </c>
      <c r="H749" s="4">
        <f t="shared" si="361"/>
        <v>97.127364321215353</v>
      </c>
    </row>
    <row r="750" spans="1:8" s="210" customFormat="1" ht="50.25" customHeight="1" x14ac:dyDescent="0.25">
      <c r="A750" s="318" t="s">
        <v>283</v>
      </c>
      <c r="B750" s="319" t="s">
        <v>279</v>
      </c>
      <c r="C750" s="319" t="s">
        <v>230</v>
      </c>
      <c r="D750" s="319" t="s">
        <v>284</v>
      </c>
      <c r="E750" s="319"/>
      <c r="F750" s="4">
        <f>F751+F759+F763+F769+F773</f>
        <v>15995.499999999998</v>
      </c>
      <c r="G750" s="4">
        <f t="shared" ref="G750" si="380">G751+G759+G763+G769+G773</f>
        <v>15536.00756</v>
      </c>
      <c r="H750" s="4">
        <f t="shared" si="361"/>
        <v>97.127364321215353</v>
      </c>
    </row>
    <row r="751" spans="1:8" s="210" customFormat="1" ht="36" customHeight="1" x14ac:dyDescent="0.25">
      <c r="A751" s="318" t="s">
        <v>939</v>
      </c>
      <c r="B751" s="319" t="s">
        <v>279</v>
      </c>
      <c r="C751" s="319" t="s">
        <v>230</v>
      </c>
      <c r="D751" s="319" t="s">
        <v>940</v>
      </c>
      <c r="E751" s="319"/>
      <c r="F751" s="4">
        <f>F752</f>
        <v>14592.599999999999</v>
      </c>
      <c r="G751" s="4">
        <f t="shared" ref="G751" si="381">G752</f>
        <v>14417.03911</v>
      </c>
      <c r="H751" s="4">
        <f t="shared" si="361"/>
        <v>98.796918369584603</v>
      </c>
    </row>
    <row r="752" spans="1:8" s="210" customFormat="1" ht="15.75" x14ac:dyDescent="0.25">
      <c r="A752" s="349" t="s">
        <v>830</v>
      </c>
      <c r="B752" s="347" t="s">
        <v>279</v>
      </c>
      <c r="C752" s="347" t="s">
        <v>230</v>
      </c>
      <c r="D752" s="347" t="s">
        <v>938</v>
      </c>
      <c r="E752" s="347"/>
      <c r="F752" s="337">
        <f>F753+F755+F757</f>
        <v>14592.599999999999</v>
      </c>
      <c r="G752" s="337">
        <f t="shared" ref="G752" si="382">G753+G755+G757</f>
        <v>14417.03911</v>
      </c>
      <c r="H752" s="337">
        <f t="shared" si="361"/>
        <v>98.796918369584603</v>
      </c>
    </row>
    <row r="753" spans="1:8" s="210" customFormat="1" ht="78.75" x14ac:dyDescent="0.25">
      <c r="A753" s="349" t="s">
        <v>142</v>
      </c>
      <c r="B753" s="347" t="s">
        <v>279</v>
      </c>
      <c r="C753" s="347" t="s">
        <v>230</v>
      </c>
      <c r="D753" s="347" t="s">
        <v>938</v>
      </c>
      <c r="E753" s="347" t="s">
        <v>143</v>
      </c>
      <c r="F753" s="337">
        <f>F754</f>
        <v>12446.599999999999</v>
      </c>
      <c r="G753" s="337">
        <f t="shared" ref="G753" si="383">G754</f>
        <v>12446.168750000001</v>
      </c>
      <c r="H753" s="337">
        <f t="shared" si="361"/>
        <v>99.99653519836744</v>
      </c>
    </row>
    <row r="754" spans="1:8" s="210" customFormat="1" ht="21.2" customHeight="1" x14ac:dyDescent="0.25">
      <c r="A754" s="46" t="s">
        <v>357</v>
      </c>
      <c r="B754" s="347" t="s">
        <v>279</v>
      </c>
      <c r="C754" s="347" t="s">
        <v>230</v>
      </c>
      <c r="D754" s="347" t="s">
        <v>938</v>
      </c>
      <c r="E754" s="347" t="s">
        <v>224</v>
      </c>
      <c r="F754" s="337">
        <f>'Пр.4 ведом.20'!G303</f>
        <v>12446.599999999999</v>
      </c>
      <c r="G754" s="337">
        <f>'Пр.4 ведом.20'!H303</f>
        <v>12446.168750000001</v>
      </c>
      <c r="H754" s="337">
        <f t="shared" si="361"/>
        <v>99.99653519836744</v>
      </c>
    </row>
    <row r="755" spans="1:8" s="210" customFormat="1" ht="31.5" x14ac:dyDescent="0.25">
      <c r="A755" s="349" t="s">
        <v>146</v>
      </c>
      <c r="B755" s="347" t="s">
        <v>279</v>
      </c>
      <c r="C755" s="347" t="s">
        <v>230</v>
      </c>
      <c r="D755" s="347" t="s">
        <v>938</v>
      </c>
      <c r="E755" s="347" t="s">
        <v>147</v>
      </c>
      <c r="F755" s="337">
        <f>F756</f>
        <v>2072.9999999999991</v>
      </c>
      <c r="G755" s="337">
        <f t="shared" ref="G755" si="384">G756</f>
        <v>1898.0073600000001</v>
      </c>
      <c r="H755" s="337">
        <f t="shared" si="361"/>
        <v>91.558483357453014</v>
      </c>
    </row>
    <row r="756" spans="1:8" s="210" customFormat="1" ht="47.25" x14ac:dyDescent="0.25">
      <c r="A756" s="349" t="s">
        <v>148</v>
      </c>
      <c r="B756" s="347" t="s">
        <v>279</v>
      </c>
      <c r="C756" s="347" t="s">
        <v>230</v>
      </c>
      <c r="D756" s="347" t="s">
        <v>938</v>
      </c>
      <c r="E756" s="347" t="s">
        <v>149</v>
      </c>
      <c r="F756" s="337">
        <f>'Пр.4 ведом.20'!G305</f>
        <v>2072.9999999999991</v>
      </c>
      <c r="G756" s="337">
        <f>'Пр.4 ведом.20'!H305</f>
        <v>1898.0073600000001</v>
      </c>
      <c r="H756" s="337">
        <f t="shared" si="361"/>
        <v>91.558483357453014</v>
      </c>
    </row>
    <row r="757" spans="1:8" s="210" customFormat="1" ht="15.75" x14ac:dyDescent="0.25">
      <c r="A757" s="349" t="s">
        <v>150</v>
      </c>
      <c r="B757" s="347" t="s">
        <v>279</v>
      </c>
      <c r="C757" s="347" t="s">
        <v>230</v>
      </c>
      <c r="D757" s="347" t="s">
        <v>938</v>
      </c>
      <c r="E757" s="347" t="s">
        <v>160</v>
      </c>
      <c r="F757" s="337">
        <f>F758</f>
        <v>73</v>
      </c>
      <c r="G757" s="337">
        <f t="shared" ref="G757" si="385">G758</f>
        <v>72.863</v>
      </c>
      <c r="H757" s="337">
        <f t="shared" si="361"/>
        <v>99.812328767123276</v>
      </c>
    </row>
    <row r="758" spans="1:8" s="210" customFormat="1" ht="15.75" x14ac:dyDescent="0.25">
      <c r="A758" s="349" t="s">
        <v>725</v>
      </c>
      <c r="B758" s="347" t="s">
        <v>279</v>
      </c>
      <c r="C758" s="347" t="s">
        <v>230</v>
      </c>
      <c r="D758" s="347" t="s">
        <v>938</v>
      </c>
      <c r="E758" s="347" t="s">
        <v>153</v>
      </c>
      <c r="F758" s="337">
        <f>'Пр.4 ведом.20'!G307</f>
        <v>73</v>
      </c>
      <c r="G758" s="337">
        <f>'Пр.4 ведом.20'!H307</f>
        <v>72.863</v>
      </c>
      <c r="H758" s="337">
        <f t="shared" si="361"/>
        <v>99.812328767123276</v>
      </c>
    </row>
    <row r="759" spans="1:8" s="210" customFormat="1" ht="47.25" x14ac:dyDescent="0.25">
      <c r="A759" s="221" t="s">
        <v>1187</v>
      </c>
      <c r="B759" s="319" t="s">
        <v>279</v>
      </c>
      <c r="C759" s="319" t="s">
        <v>230</v>
      </c>
      <c r="D759" s="319" t="s">
        <v>942</v>
      </c>
      <c r="E759" s="319"/>
      <c r="F759" s="4">
        <f>F760</f>
        <v>45</v>
      </c>
      <c r="G759" s="4">
        <f t="shared" ref="G759:G761" si="386">G760</f>
        <v>45</v>
      </c>
      <c r="H759" s="4">
        <f t="shared" si="361"/>
        <v>100</v>
      </c>
    </row>
    <row r="760" spans="1:8" s="210" customFormat="1" ht="31.5" x14ac:dyDescent="0.25">
      <c r="A760" s="207" t="s">
        <v>829</v>
      </c>
      <c r="B760" s="347" t="s">
        <v>279</v>
      </c>
      <c r="C760" s="347" t="s">
        <v>230</v>
      </c>
      <c r="D760" s="347" t="s">
        <v>941</v>
      </c>
      <c r="E760" s="347"/>
      <c r="F760" s="337">
        <f>F761</f>
        <v>45</v>
      </c>
      <c r="G760" s="337">
        <f t="shared" si="386"/>
        <v>45</v>
      </c>
      <c r="H760" s="337">
        <f t="shared" si="361"/>
        <v>100</v>
      </c>
    </row>
    <row r="761" spans="1:8" s="210" customFormat="1" ht="20.25" customHeight="1" x14ac:dyDescent="0.25">
      <c r="A761" s="349" t="s">
        <v>263</v>
      </c>
      <c r="B761" s="347" t="s">
        <v>279</v>
      </c>
      <c r="C761" s="347" t="s">
        <v>230</v>
      </c>
      <c r="D761" s="347" t="s">
        <v>941</v>
      </c>
      <c r="E761" s="347" t="s">
        <v>264</v>
      </c>
      <c r="F761" s="337">
        <f>F762</f>
        <v>45</v>
      </c>
      <c r="G761" s="337">
        <f t="shared" si="386"/>
        <v>45</v>
      </c>
      <c r="H761" s="337">
        <f t="shared" si="361"/>
        <v>100</v>
      </c>
    </row>
    <row r="762" spans="1:8" s="210" customFormat="1" ht="15.75" x14ac:dyDescent="0.25">
      <c r="A762" s="349" t="s">
        <v>863</v>
      </c>
      <c r="B762" s="347" t="s">
        <v>279</v>
      </c>
      <c r="C762" s="347" t="s">
        <v>230</v>
      </c>
      <c r="D762" s="347" t="s">
        <v>941</v>
      </c>
      <c r="E762" s="347" t="s">
        <v>862</v>
      </c>
      <c r="F762" s="337">
        <f>'Пр.4 ведом.20'!G311</f>
        <v>45</v>
      </c>
      <c r="G762" s="337">
        <f>'Пр.4 ведом.20'!H311</f>
        <v>45</v>
      </c>
      <c r="H762" s="337">
        <f t="shared" si="361"/>
        <v>100</v>
      </c>
    </row>
    <row r="763" spans="1:8" ht="47.25" x14ac:dyDescent="0.25">
      <c r="A763" s="226" t="s">
        <v>1166</v>
      </c>
      <c r="B763" s="319" t="s">
        <v>279</v>
      </c>
      <c r="C763" s="319" t="s">
        <v>230</v>
      </c>
      <c r="D763" s="319" t="s">
        <v>943</v>
      </c>
      <c r="E763" s="319"/>
      <c r="F763" s="4">
        <f>F764</f>
        <v>66.90000000000002</v>
      </c>
      <c r="G763" s="4">
        <f t="shared" ref="G763" si="387">G764</f>
        <v>66.849999999999994</v>
      </c>
      <c r="H763" s="4">
        <f t="shared" si="361"/>
        <v>99.925261584454375</v>
      </c>
    </row>
    <row r="764" spans="1:8" ht="31.5" x14ac:dyDescent="0.25">
      <c r="A764" s="31" t="s">
        <v>858</v>
      </c>
      <c r="B764" s="347" t="s">
        <v>279</v>
      </c>
      <c r="C764" s="347" t="s">
        <v>230</v>
      </c>
      <c r="D764" s="347" t="s">
        <v>944</v>
      </c>
      <c r="E764" s="347"/>
      <c r="F764" s="337">
        <f>F765+F767</f>
        <v>66.90000000000002</v>
      </c>
      <c r="G764" s="337">
        <f t="shared" ref="G764" si="388">G765+G767</f>
        <v>66.849999999999994</v>
      </c>
      <c r="H764" s="337">
        <f t="shared" si="361"/>
        <v>99.925261584454375</v>
      </c>
    </row>
    <row r="765" spans="1:8" ht="78.75" x14ac:dyDescent="0.25">
      <c r="A765" s="349" t="s">
        <v>142</v>
      </c>
      <c r="B765" s="347" t="s">
        <v>279</v>
      </c>
      <c r="C765" s="347" t="s">
        <v>230</v>
      </c>
      <c r="D765" s="347" t="s">
        <v>944</v>
      </c>
      <c r="E765" s="347" t="s">
        <v>143</v>
      </c>
      <c r="F765" s="337">
        <f>F766</f>
        <v>66.90000000000002</v>
      </c>
      <c r="G765" s="337">
        <f t="shared" ref="G765" si="389">G766</f>
        <v>66.849999999999994</v>
      </c>
      <c r="H765" s="337">
        <f t="shared" si="361"/>
        <v>99.925261584454375</v>
      </c>
    </row>
    <row r="766" spans="1:8" s="210" customFormat="1" ht="18.75" customHeight="1" x14ac:dyDescent="0.25">
      <c r="A766" s="46" t="s">
        <v>357</v>
      </c>
      <c r="B766" s="347" t="s">
        <v>279</v>
      </c>
      <c r="C766" s="347" t="s">
        <v>230</v>
      </c>
      <c r="D766" s="347" t="s">
        <v>944</v>
      </c>
      <c r="E766" s="347" t="s">
        <v>224</v>
      </c>
      <c r="F766" s="337">
        <f>'Пр.4 ведом.20'!G315</f>
        <v>66.90000000000002</v>
      </c>
      <c r="G766" s="337">
        <f>'Пр.4 ведом.20'!H315</f>
        <v>66.849999999999994</v>
      </c>
      <c r="H766" s="337">
        <f t="shared" si="361"/>
        <v>99.925261584454375</v>
      </c>
    </row>
    <row r="767" spans="1:8" s="210" customFormat="1" ht="31.5" hidden="1" x14ac:dyDescent="0.25">
      <c r="A767" s="349" t="s">
        <v>146</v>
      </c>
      <c r="B767" s="347" t="s">
        <v>279</v>
      </c>
      <c r="C767" s="347" t="s">
        <v>230</v>
      </c>
      <c r="D767" s="347" t="s">
        <v>944</v>
      </c>
      <c r="E767" s="347" t="s">
        <v>147</v>
      </c>
      <c r="F767" s="337">
        <f>F768</f>
        <v>0</v>
      </c>
      <c r="G767" s="337">
        <f t="shared" ref="G767" si="390">G768</f>
        <v>0</v>
      </c>
      <c r="H767" s="337" t="e">
        <f t="shared" si="361"/>
        <v>#DIV/0!</v>
      </c>
    </row>
    <row r="768" spans="1:8" s="210" customFormat="1" ht="47.25" hidden="1" x14ac:dyDescent="0.25">
      <c r="A768" s="349" t="s">
        <v>148</v>
      </c>
      <c r="B768" s="347" t="s">
        <v>279</v>
      </c>
      <c r="C768" s="347" t="s">
        <v>230</v>
      </c>
      <c r="D768" s="347" t="s">
        <v>944</v>
      </c>
      <c r="E768" s="347" t="s">
        <v>149</v>
      </c>
      <c r="F768" s="337">
        <f>'Пр.4 ведом.20'!G317</f>
        <v>0</v>
      </c>
      <c r="G768" s="337">
        <f>'Пр.4 ведом.20'!H317</f>
        <v>0</v>
      </c>
      <c r="H768" s="337" t="e">
        <f t="shared" si="361"/>
        <v>#DIV/0!</v>
      </c>
    </row>
    <row r="769" spans="1:8" s="210" customFormat="1" ht="31.5" x14ac:dyDescent="0.25">
      <c r="A769" s="318" t="s">
        <v>1074</v>
      </c>
      <c r="B769" s="319" t="s">
        <v>279</v>
      </c>
      <c r="C769" s="319" t="s">
        <v>230</v>
      </c>
      <c r="D769" s="319" t="s">
        <v>949</v>
      </c>
      <c r="E769" s="319"/>
      <c r="F769" s="4">
        <f>F770</f>
        <v>289.29999999999995</v>
      </c>
      <c r="G769" s="4">
        <f t="shared" ref="G769:G771" si="391">G770</f>
        <v>289.14800000000002</v>
      </c>
      <c r="H769" s="4">
        <f t="shared" si="361"/>
        <v>99.947459384721768</v>
      </c>
    </row>
    <row r="770" spans="1:8" s="210" customFormat="1" ht="47.25" x14ac:dyDescent="0.25">
      <c r="A770" s="349" t="s">
        <v>883</v>
      </c>
      <c r="B770" s="347" t="s">
        <v>279</v>
      </c>
      <c r="C770" s="347" t="s">
        <v>230</v>
      </c>
      <c r="D770" s="347" t="s">
        <v>1261</v>
      </c>
      <c r="E770" s="347"/>
      <c r="F770" s="337">
        <f>F771</f>
        <v>289.29999999999995</v>
      </c>
      <c r="G770" s="337">
        <f t="shared" si="391"/>
        <v>289.14800000000002</v>
      </c>
      <c r="H770" s="337">
        <f t="shared" si="361"/>
        <v>99.947459384721768</v>
      </c>
    </row>
    <row r="771" spans="1:8" s="210" customFormat="1" ht="78.75" x14ac:dyDescent="0.25">
      <c r="A771" s="349" t="s">
        <v>142</v>
      </c>
      <c r="B771" s="347" t="s">
        <v>279</v>
      </c>
      <c r="C771" s="347" t="s">
        <v>230</v>
      </c>
      <c r="D771" s="347" t="s">
        <v>1261</v>
      </c>
      <c r="E771" s="347" t="s">
        <v>143</v>
      </c>
      <c r="F771" s="337">
        <f>F772</f>
        <v>289.29999999999995</v>
      </c>
      <c r="G771" s="337">
        <f t="shared" si="391"/>
        <v>289.14800000000002</v>
      </c>
      <c r="H771" s="337">
        <f t="shared" si="361"/>
        <v>99.947459384721768</v>
      </c>
    </row>
    <row r="772" spans="1:8" s="210" customFormat="1" ht="31.5" x14ac:dyDescent="0.25">
      <c r="A772" s="349" t="s">
        <v>144</v>
      </c>
      <c r="B772" s="347" t="s">
        <v>279</v>
      </c>
      <c r="C772" s="347" t="s">
        <v>230</v>
      </c>
      <c r="D772" s="347" t="s">
        <v>1261</v>
      </c>
      <c r="E772" s="347" t="s">
        <v>224</v>
      </c>
      <c r="F772" s="337">
        <f>'Пр.4 ведом.20'!G321</f>
        <v>289.29999999999995</v>
      </c>
      <c r="G772" s="337">
        <f>'Пр.4 ведом.20'!H321</f>
        <v>289.14800000000002</v>
      </c>
      <c r="H772" s="337">
        <f t="shared" si="361"/>
        <v>99.947459384721768</v>
      </c>
    </row>
    <row r="773" spans="1:8" s="210" customFormat="1" ht="47.25" x14ac:dyDescent="0.25">
      <c r="A773" s="318" t="s">
        <v>969</v>
      </c>
      <c r="B773" s="319" t="s">
        <v>279</v>
      </c>
      <c r="C773" s="319" t="s">
        <v>230</v>
      </c>
      <c r="D773" s="319" t="s">
        <v>1262</v>
      </c>
      <c r="E773" s="319"/>
      <c r="F773" s="4">
        <f>F777+F780+F783+F774</f>
        <v>1001.7</v>
      </c>
      <c r="G773" s="4">
        <f t="shared" ref="G773" si="392">G777+G780+G783+G774</f>
        <v>717.97045000000003</v>
      </c>
      <c r="H773" s="4">
        <f t="shared" si="361"/>
        <v>71.675197164819807</v>
      </c>
    </row>
    <row r="774" spans="1:8" s="309" customFormat="1" ht="94.5" x14ac:dyDescent="0.25">
      <c r="A774" s="31" t="s">
        <v>308</v>
      </c>
      <c r="B774" s="347" t="s">
        <v>279</v>
      </c>
      <c r="C774" s="347" t="s">
        <v>230</v>
      </c>
      <c r="D774" s="347" t="s">
        <v>1508</v>
      </c>
      <c r="E774" s="347"/>
      <c r="F774" s="337">
        <f>F775</f>
        <v>422.5</v>
      </c>
      <c r="G774" s="337">
        <f t="shared" ref="G774:G775" si="393">G775</f>
        <v>233.88013000000001</v>
      </c>
      <c r="H774" s="337">
        <f t="shared" si="361"/>
        <v>55.356243786982247</v>
      </c>
    </row>
    <row r="775" spans="1:8" s="309" customFormat="1" ht="78.75" x14ac:dyDescent="0.25">
      <c r="A775" s="349" t="s">
        <v>142</v>
      </c>
      <c r="B775" s="347" t="s">
        <v>279</v>
      </c>
      <c r="C775" s="347" t="s">
        <v>230</v>
      </c>
      <c r="D775" s="347" t="s">
        <v>1508</v>
      </c>
      <c r="E775" s="347" t="s">
        <v>143</v>
      </c>
      <c r="F775" s="337">
        <f>F776</f>
        <v>422.5</v>
      </c>
      <c r="G775" s="337">
        <f t="shared" si="393"/>
        <v>233.88013000000001</v>
      </c>
      <c r="H775" s="337">
        <f t="shared" si="361"/>
        <v>55.356243786982247</v>
      </c>
    </row>
    <row r="776" spans="1:8" s="309" customFormat="1" ht="31.5" x14ac:dyDescent="0.25">
      <c r="A776" s="46" t="s">
        <v>357</v>
      </c>
      <c r="B776" s="347" t="s">
        <v>279</v>
      </c>
      <c r="C776" s="347" t="s">
        <v>230</v>
      </c>
      <c r="D776" s="347" t="s">
        <v>1508</v>
      </c>
      <c r="E776" s="347" t="s">
        <v>224</v>
      </c>
      <c r="F776" s="337">
        <f>'Пр.4 ведом.20'!G325</f>
        <v>422.5</v>
      </c>
      <c r="G776" s="337">
        <f>'Пр.4 ведом.20'!H325</f>
        <v>233.88013000000001</v>
      </c>
      <c r="H776" s="337">
        <f t="shared" si="361"/>
        <v>55.356243786982247</v>
      </c>
    </row>
    <row r="777" spans="1:8" s="210" customFormat="1" ht="63" x14ac:dyDescent="0.25">
      <c r="A777" s="31" t="s">
        <v>304</v>
      </c>
      <c r="B777" s="347" t="s">
        <v>279</v>
      </c>
      <c r="C777" s="347" t="s">
        <v>230</v>
      </c>
      <c r="D777" s="347" t="s">
        <v>1263</v>
      </c>
      <c r="E777" s="347"/>
      <c r="F777" s="337">
        <f>F778</f>
        <v>100.8</v>
      </c>
      <c r="G777" s="337">
        <f t="shared" ref="G777:G778" si="394">G778</f>
        <v>77.224360000000004</v>
      </c>
      <c r="H777" s="337">
        <f t="shared" ref="H777:H840" si="395">G777/F777*100</f>
        <v>76.611468253968269</v>
      </c>
    </row>
    <row r="778" spans="1:8" s="210" customFormat="1" ht="78.75" x14ac:dyDescent="0.25">
      <c r="A778" s="349" t="s">
        <v>142</v>
      </c>
      <c r="B778" s="347" t="s">
        <v>279</v>
      </c>
      <c r="C778" s="347" t="s">
        <v>230</v>
      </c>
      <c r="D778" s="347" t="s">
        <v>1263</v>
      </c>
      <c r="E778" s="347" t="s">
        <v>143</v>
      </c>
      <c r="F778" s="337">
        <f>F779</f>
        <v>100.8</v>
      </c>
      <c r="G778" s="337">
        <f t="shared" si="394"/>
        <v>77.224360000000004</v>
      </c>
      <c r="H778" s="337">
        <f t="shared" si="395"/>
        <v>76.611468253968269</v>
      </c>
    </row>
    <row r="779" spans="1:8" s="210" customFormat="1" ht="21.2" customHeight="1" x14ac:dyDescent="0.25">
      <c r="A779" s="46" t="s">
        <v>357</v>
      </c>
      <c r="B779" s="347" t="s">
        <v>279</v>
      </c>
      <c r="C779" s="347" t="s">
        <v>230</v>
      </c>
      <c r="D779" s="347" t="s">
        <v>1263</v>
      </c>
      <c r="E779" s="347" t="s">
        <v>224</v>
      </c>
      <c r="F779" s="337">
        <f>'Пр.4 ведом.20'!G328</f>
        <v>100.8</v>
      </c>
      <c r="G779" s="337">
        <f>'Пр.4 ведом.20'!H328</f>
        <v>77.224360000000004</v>
      </c>
      <c r="H779" s="337">
        <f t="shared" si="395"/>
        <v>76.611468253968269</v>
      </c>
    </row>
    <row r="780" spans="1:8" s="210" customFormat="1" ht="63" x14ac:dyDescent="0.25">
      <c r="A780" s="31" t="s">
        <v>306</v>
      </c>
      <c r="B780" s="347" t="s">
        <v>279</v>
      </c>
      <c r="C780" s="347" t="s">
        <v>230</v>
      </c>
      <c r="D780" s="347" t="s">
        <v>1264</v>
      </c>
      <c r="E780" s="347"/>
      <c r="F780" s="337">
        <f>F781</f>
        <v>298.40000000000003</v>
      </c>
      <c r="G780" s="337">
        <f t="shared" ref="G780:G781" si="396">G781</f>
        <v>226.86596</v>
      </c>
      <c r="H780" s="337">
        <f t="shared" si="395"/>
        <v>76.027466487935641</v>
      </c>
    </row>
    <row r="781" spans="1:8" s="210" customFormat="1" ht="78.75" x14ac:dyDescent="0.25">
      <c r="A781" s="349" t="s">
        <v>142</v>
      </c>
      <c r="B781" s="347" t="s">
        <v>279</v>
      </c>
      <c r="C781" s="347" t="s">
        <v>230</v>
      </c>
      <c r="D781" s="347" t="s">
        <v>1264</v>
      </c>
      <c r="E781" s="347" t="s">
        <v>143</v>
      </c>
      <c r="F781" s="337">
        <f>F782</f>
        <v>298.40000000000003</v>
      </c>
      <c r="G781" s="337">
        <f t="shared" si="396"/>
        <v>226.86596</v>
      </c>
      <c r="H781" s="337">
        <f t="shared" si="395"/>
        <v>76.027466487935641</v>
      </c>
    </row>
    <row r="782" spans="1:8" s="210" customFormat="1" ht="21.2" customHeight="1" x14ac:dyDescent="0.25">
      <c r="A782" s="46" t="s">
        <v>357</v>
      </c>
      <c r="B782" s="347" t="s">
        <v>279</v>
      </c>
      <c r="C782" s="347" t="s">
        <v>230</v>
      </c>
      <c r="D782" s="347" t="s">
        <v>1264</v>
      </c>
      <c r="E782" s="347" t="s">
        <v>224</v>
      </c>
      <c r="F782" s="337">
        <f>'Пр.4 ведом.20'!G331</f>
        <v>298.40000000000003</v>
      </c>
      <c r="G782" s="337">
        <f>'Пр.4 ведом.20'!H331</f>
        <v>226.86596</v>
      </c>
      <c r="H782" s="337">
        <f t="shared" si="395"/>
        <v>76.027466487935641</v>
      </c>
    </row>
    <row r="783" spans="1:8" s="210" customFormat="1" ht="94.5" x14ac:dyDescent="0.25">
      <c r="A783" s="31" t="s">
        <v>308</v>
      </c>
      <c r="B783" s="347" t="s">
        <v>279</v>
      </c>
      <c r="C783" s="347" t="s">
        <v>230</v>
      </c>
      <c r="D783" s="347" t="s">
        <v>1265</v>
      </c>
      <c r="E783" s="347"/>
      <c r="F783" s="337">
        <f>F784</f>
        <v>180</v>
      </c>
      <c r="G783" s="337">
        <f t="shared" ref="G783:G784" si="397">G784</f>
        <v>180</v>
      </c>
      <c r="H783" s="337">
        <f t="shared" si="395"/>
        <v>100</v>
      </c>
    </row>
    <row r="784" spans="1:8" s="210" customFormat="1" ht="78.75" x14ac:dyDescent="0.25">
      <c r="A784" s="349" t="s">
        <v>142</v>
      </c>
      <c r="B784" s="347" t="s">
        <v>279</v>
      </c>
      <c r="C784" s="347" t="s">
        <v>230</v>
      </c>
      <c r="D784" s="347" t="s">
        <v>1265</v>
      </c>
      <c r="E784" s="347" t="s">
        <v>143</v>
      </c>
      <c r="F784" s="337">
        <f>F785</f>
        <v>180</v>
      </c>
      <c r="G784" s="337">
        <f t="shared" si="397"/>
        <v>180</v>
      </c>
      <c r="H784" s="337">
        <f t="shared" si="395"/>
        <v>100</v>
      </c>
    </row>
    <row r="785" spans="1:8" s="210" customFormat="1" ht="20.25" customHeight="1" x14ac:dyDescent="0.25">
      <c r="A785" s="46" t="s">
        <v>357</v>
      </c>
      <c r="B785" s="347" t="s">
        <v>279</v>
      </c>
      <c r="C785" s="347" t="s">
        <v>230</v>
      </c>
      <c r="D785" s="347" t="s">
        <v>1265</v>
      </c>
      <c r="E785" s="347" t="s">
        <v>224</v>
      </c>
      <c r="F785" s="337">
        <f>'Пр.4 ведом.20'!G334</f>
        <v>180</v>
      </c>
      <c r="G785" s="337">
        <f>'Пр.4 ведом.20'!H334</f>
        <v>180</v>
      </c>
      <c r="H785" s="337">
        <f t="shared" si="395"/>
        <v>100</v>
      </c>
    </row>
    <row r="786" spans="1:8" s="210" customFormat="1" ht="63" x14ac:dyDescent="0.25">
      <c r="A786" s="41" t="s">
        <v>728</v>
      </c>
      <c r="B786" s="319" t="s">
        <v>279</v>
      </c>
      <c r="C786" s="319" t="s">
        <v>230</v>
      </c>
      <c r="D786" s="319" t="s">
        <v>726</v>
      </c>
      <c r="E786" s="319"/>
      <c r="F786" s="4">
        <f>F787</f>
        <v>628.09999999999991</v>
      </c>
      <c r="G786" s="4">
        <f t="shared" ref="G786" si="398">G787</f>
        <v>614.68718000000001</v>
      </c>
      <c r="H786" s="4">
        <f t="shared" si="395"/>
        <v>97.864540678235969</v>
      </c>
    </row>
    <row r="787" spans="1:8" s="210" customFormat="1" ht="47.25" x14ac:dyDescent="0.25">
      <c r="A787" s="41" t="s">
        <v>947</v>
      </c>
      <c r="B787" s="319" t="s">
        <v>279</v>
      </c>
      <c r="C787" s="319" t="s">
        <v>230</v>
      </c>
      <c r="D787" s="319" t="s">
        <v>945</v>
      </c>
      <c r="E787" s="319"/>
      <c r="F787" s="4">
        <f>F788+F791</f>
        <v>628.09999999999991</v>
      </c>
      <c r="G787" s="4">
        <f t="shared" ref="G787" si="399">G788+G791</f>
        <v>614.68718000000001</v>
      </c>
      <c r="H787" s="4">
        <f t="shared" si="395"/>
        <v>97.864540678235969</v>
      </c>
    </row>
    <row r="788" spans="1:8" s="210" customFormat="1" ht="35.450000000000003" customHeight="1" x14ac:dyDescent="0.25">
      <c r="A788" s="99" t="s">
        <v>1155</v>
      </c>
      <c r="B788" s="347" t="s">
        <v>279</v>
      </c>
      <c r="C788" s="347" t="s">
        <v>230</v>
      </c>
      <c r="D788" s="347" t="s">
        <v>946</v>
      </c>
      <c r="E788" s="32"/>
      <c r="F788" s="337">
        <f>F789</f>
        <v>327.39999999999998</v>
      </c>
      <c r="G788" s="337">
        <f t="shared" ref="G788:G789" si="400">G789</f>
        <v>327.32247999999998</v>
      </c>
      <c r="H788" s="337">
        <f t="shared" si="395"/>
        <v>99.976322541233969</v>
      </c>
    </row>
    <row r="789" spans="1:8" s="210" customFormat="1" ht="31.5" x14ac:dyDescent="0.25">
      <c r="A789" s="349" t="s">
        <v>146</v>
      </c>
      <c r="B789" s="347" t="s">
        <v>279</v>
      </c>
      <c r="C789" s="347" t="s">
        <v>230</v>
      </c>
      <c r="D789" s="347" t="s">
        <v>946</v>
      </c>
      <c r="E789" s="32" t="s">
        <v>147</v>
      </c>
      <c r="F789" s="337">
        <f>F790</f>
        <v>327.39999999999998</v>
      </c>
      <c r="G789" s="337">
        <f t="shared" si="400"/>
        <v>327.32247999999998</v>
      </c>
      <c r="H789" s="337">
        <f t="shared" si="395"/>
        <v>99.976322541233969</v>
      </c>
    </row>
    <row r="790" spans="1:8" s="210" customFormat="1" ht="36.75" customHeight="1" x14ac:dyDescent="0.25">
      <c r="A790" s="349" t="s">
        <v>148</v>
      </c>
      <c r="B790" s="347" t="s">
        <v>279</v>
      </c>
      <c r="C790" s="347" t="s">
        <v>230</v>
      </c>
      <c r="D790" s="347" t="s">
        <v>946</v>
      </c>
      <c r="E790" s="32" t="s">
        <v>149</v>
      </c>
      <c r="F790" s="337">
        <f>'Пр.4 ведом.20'!G339</f>
        <v>327.39999999999998</v>
      </c>
      <c r="G790" s="337">
        <f>'Пр.4 ведом.20'!H339</f>
        <v>327.32247999999998</v>
      </c>
      <c r="H790" s="337">
        <f t="shared" si="395"/>
        <v>99.976322541233969</v>
      </c>
    </row>
    <row r="791" spans="1:8" s="210" customFormat="1" ht="47.25" x14ac:dyDescent="0.25">
      <c r="A791" s="99" t="s">
        <v>801</v>
      </c>
      <c r="B791" s="347" t="s">
        <v>279</v>
      </c>
      <c r="C791" s="347" t="s">
        <v>230</v>
      </c>
      <c r="D791" s="347" t="s">
        <v>1025</v>
      </c>
      <c r="E791" s="32"/>
      <c r="F791" s="337">
        <f>F792</f>
        <v>300.7</v>
      </c>
      <c r="G791" s="337">
        <f t="shared" ref="G791:G792" si="401">G792</f>
        <v>287.36470000000003</v>
      </c>
      <c r="H791" s="337">
        <f t="shared" si="395"/>
        <v>95.565247755237792</v>
      </c>
    </row>
    <row r="792" spans="1:8" s="210" customFormat="1" ht="31.5" x14ac:dyDescent="0.25">
      <c r="A792" s="323" t="s">
        <v>287</v>
      </c>
      <c r="B792" s="347" t="s">
        <v>279</v>
      </c>
      <c r="C792" s="347" t="s">
        <v>230</v>
      </c>
      <c r="D792" s="347" t="s">
        <v>1025</v>
      </c>
      <c r="E792" s="32" t="s">
        <v>288</v>
      </c>
      <c r="F792" s="337">
        <f>F793</f>
        <v>300.7</v>
      </c>
      <c r="G792" s="337">
        <f t="shared" si="401"/>
        <v>287.36470000000003</v>
      </c>
      <c r="H792" s="337">
        <f t="shared" si="395"/>
        <v>95.565247755237792</v>
      </c>
    </row>
    <row r="793" spans="1:8" s="210" customFormat="1" ht="15.75" x14ac:dyDescent="0.25">
      <c r="A793" s="193" t="s">
        <v>289</v>
      </c>
      <c r="B793" s="347" t="s">
        <v>279</v>
      </c>
      <c r="C793" s="347" t="s">
        <v>230</v>
      </c>
      <c r="D793" s="347" t="s">
        <v>1025</v>
      </c>
      <c r="E793" s="32" t="s">
        <v>290</v>
      </c>
      <c r="F793" s="337">
        <f>'Пр.4 ведом.20'!G808</f>
        <v>300.7</v>
      </c>
      <c r="G793" s="337">
        <f>'Пр.4 ведом.20'!H808</f>
        <v>287.36470000000003</v>
      </c>
      <c r="H793" s="337">
        <f t="shared" si="395"/>
        <v>95.565247755237792</v>
      </c>
    </row>
    <row r="794" spans="1:8" s="210" customFormat="1" ht="15.75" x14ac:dyDescent="0.25">
      <c r="A794" s="318" t="s">
        <v>481</v>
      </c>
      <c r="B794" s="319" t="s">
        <v>279</v>
      </c>
      <c r="C794" s="319" t="s">
        <v>279</v>
      </c>
      <c r="D794" s="319"/>
      <c r="E794" s="228"/>
      <c r="F794" s="4">
        <f>F795+F814</f>
        <v>5153.0999999999995</v>
      </c>
      <c r="G794" s="4">
        <f t="shared" ref="G794" si="402">G795+G814</f>
        <v>4036.3848499999999</v>
      </c>
      <c r="H794" s="4">
        <f t="shared" si="395"/>
        <v>78.329255205604397</v>
      </c>
    </row>
    <row r="795" spans="1:8" s="210" customFormat="1" ht="47.25" x14ac:dyDescent="0.25">
      <c r="A795" s="318" t="s">
        <v>358</v>
      </c>
      <c r="B795" s="319" t="s">
        <v>279</v>
      </c>
      <c r="C795" s="319" t="s">
        <v>279</v>
      </c>
      <c r="D795" s="319" t="s">
        <v>359</v>
      </c>
      <c r="E795" s="319"/>
      <c r="F795" s="4">
        <f>F796</f>
        <v>380.8</v>
      </c>
      <c r="G795" s="4">
        <f t="shared" ref="G795" si="403">G796</f>
        <v>380.66899999999998</v>
      </c>
      <c r="H795" s="4">
        <f t="shared" si="395"/>
        <v>99.965598739495789</v>
      </c>
    </row>
    <row r="796" spans="1:8" s="210" customFormat="1" ht="31.5" x14ac:dyDescent="0.25">
      <c r="A796" s="318" t="s">
        <v>360</v>
      </c>
      <c r="B796" s="319" t="s">
        <v>279</v>
      </c>
      <c r="C796" s="319" t="s">
        <v>279</v>
      </c>
      <c r="D796" s="319" t="s">
        <v>361</v>
      </c>
      <c r="E796" s="319"/>
      <c r="F796" s="4">
        <f>F797+F804+F810</f>
        <v>380.8</v>
      </c>
      <c r="G796" s="4">
        <f t="shared" ref="G796" si="404">G797+G804+G810</f>
        <v>380.66899999999998</v>
      </c>
      <c r="H796" s="4">
        <f t="shared" si="395"/>
        <v>99.965598739495789</v>
      </c>
    </row>
    <row r="797" spans="1:8" s="210" customFormat="1" ht="47.25" hidden="1" x14ac:dyDescent="0.25">
      <c r="A797" s="216" t="s">
        <v>1194</v>
      </c>
      <c r="B797" s="319" t="s">
        <v>279</v>
      </c>
      <c r="C797" s="319" t="s">
        <v>279</v>
      </c>
      <c r="D797" s="319" t="s">
        <v>950</v>
      </c>
      <c r="E797" s="319"/>
      <c r="F797" s="4">
        <f>F798+F801</f>
        <v>0</v>
      </c>
      <c r="G797" s="4">
        <f t="shared" ref="G797" si="405">G798+G801</f>
        <v>0</v>
      </c>
      <c r="H797" s="4" t="e">
        <f t="shared" si="395"/>
        <v>#DIV/0!</v>
      </c>
    </row>
    <row r="798" spans="1:8" s="210" customFormat="1" ht="31.5" hidden="1" x14ac:dyDescent="0.25">
      <c r="A798" s="99" t="s">
        <v>1200</v>
      </c>
      <c r="B798" s="347" t="s">
        <v>279</v>
      </c>
      <c r="C798" s="347" t="s">
        <v>279</v>
      </c>
      <c r="D798" s="347" t="s">
        <v>951</v>
      </c>
      <c r="E798" s="347"/>
      <c r="F798" s="337">
        <f>F799</f>
        <v>0</v>
      </c>
      <c r="G798" s="337">
        <f t="shared" ref="G798:G799" si="406">G799</f>
        <v>0</v>
      </c>
      <c r="H798" s="4" t="e">
        <f t="shared" si="395"/>
        <v>#DIV/0!</v>
      </c>
    </row>
    <row r="799" spans="1:8" s="210" customFormat="1" ht="78.75" hidden="1" x14ac:dyDescent="0.25">
      <c r="A799" s="349" t="s">
        <v>142</v>
      </c>
      <c r="B799" s="347" t="s">
        <v>279</v>
      </c>
      <c r="C799" s="347" t="s">
        <v>279</v>
      </c>
      <c r="D799" s="347" t="s">
        <v>951</v>
      </c>
      <c r="E799" s="347" t="s">
        <v>143</v>
      </c>
      <c r="F799" s="337">
        <f>F800</f>
        <v>0</v>
      </c>
      <c r="G799" s="337">
        <f t="shared" si="406"/>
        <v>0</v>
      </c>
      <c r="H799" s="4" t="e">
        <f t="shared" si="395"/>
        <v>#DIV/0!</v>
      </c>
    </row>
    <row r="800" spans="1:8" s="210" customFormat="1" ht="17.45" hidden="1" customHeight="1" x14ac:dyDescent="0.25">
      <c r="A800" s="349" t="s">
        <v>357</v>
      </c>
      <c r="B800" s="347" t="s">
        <v>279</v>
      </c>
      <c r="C800" s="347" t="s">
        <v>279</v>
      </c>
      <c r="D800" s="347" t="s">
        <v>951</v>
      </c>
      <c r="E800" s="347" t="s">
        <v>224</v>
      </c>
      <c r="F800" s="337">
        <f>'Пр.4 ведом.20'!G346</f>
        <v>0</v>
      </c>
      <c r="G800" s="337">
        <f>'Пр.4 ведом.20'!H346</f>
        <v>0</v>
      </c>
      <c r="H800" s="4" t="e">
        <f t="shared" si="395"/>
        <v>#DIV/0!</v>
      </c>
    </row>
    <row r="801" spans="1:8" s="210" customFormat="1" ht="19.5" hidden="1" customHeight="1" x14ac:dyDescent="0.25">
      <c r="A801" s="349" t="s">
        <v>1195</v>
      </c>
      <c r="B801" s="347" t="s">
        <v>279</v>
      </c>
      <c r="C801" s="347" t="s">
        <v>279</v>
      </c>
      <c r="D801" s="347" t="s">
        <v>1219</v>
      </c>
      <c r="E801" s="347"/>
      <c r="F801" s="337">
        <f>F802</f>
        <v>0</v>
      </c>
      <c r="G801" s="337">
        <f t="shared" ref="G801:G802" si="407">G802</f>
        <v>0</v>
      </c>
      <c r="H801" s="4" t="e">
        <f t="shared" si="395"/>
        <v>#DIV/0!</v>
      </c>
    </row>
    <row r="802" spans="1:8" s="210" customFormat="1" ht="31.5" hidden="1" x14ac:dyDescent="0.25">
      <c r="A802" s="349" t="s">
        <v>146</v>
      </c>
      <c r="B802" s="347" t="s">
        <v>279</v>
      </c>
      <c r="C802" s="347" t="s">
        <v>279</v>
      </c>
      <c r="D802" s="347" t="s">
        <v>1219</v>
      </c>
      <c r="E802" s="347" t="s">
        <v>147</v>
      </c>
      <c r="F802" s="337">
        <f>F803</f>
        <v>0</v>
      </c>
      <c r="G802" s="337">
        <f t="shared" si="407"/>
        <v>0</v>
      </c>
      <c r="H802" s="4" t="e">
        <f t="shared" si="395"/>
        <v>#DIV/0!</v>
      </c>
    </row>
    <row r="803" spans="1:8" s="210" customFormat="1" ht="47.25" hidden="1" x14ac:dyDescent="0.25">
      <c r="A803" s="349" t="s">
        <v>148</v>
      </c>
      <c r="B803" s="347" t="s">
        <v>279</v>
      </c>
      <c r="C803" s="347" t="s">
        <v>279</v>
      </c>
      <c r="D803" s="347" t="s">
        <v>1219</v>
      </c>
      <c r="E803" s="347" t="s">
        <v>149</v>
      </c>
      <c r="F803" s="337">
        <f>'Пр.4 ведом.20'!G349</f>
        <v>0</v>
      </c>
      <c r="G803" s="337">
        <f>'Пр.4 ведом.20'!H349</f>
        <v>0</v>
      </c>
      <c r="H803" s="4" t="e">
        <f t="shared" si="395"/>
        <v>#DIV/0!</v>
      </c>
    </row>
    <row r="804" spans="1:8" s="210" customFormat="1" ht="63" x14ac:dyDescent="0.25">
      <c r="A804" s="318" t="s">
        <v>1196</v>
      </c>
      <c r="B804" s="319" t="s">
        <v>279</v>
      </c>
      <c r="C804" s="319" t="s">
        <v>279</v>
      </c>
      <c r="D804" s="319" t="s">
        <v>952</v>
      </c>
      <c r="E804" s="319"/>
      <c r="F804" s="4">
        <f>F805</f>
        <v>355.8</v>
      </c>
      <c r="G804" s="4">
        <f t="shared" ref="G804" si="408">G805</f>
        <v>355.66899999999998</v>
      </c>
      <c r="H804" s="4">
        <f t="shared" si="395"/>
        <v>99.963181562675658</v>
      </c>
    </row>
    <row r="805" spans="1:8" s="210" customFormat="1" ht="15.75" x14ac:dyDescent="0.25">
      <c r="A805" s="349" t="s">
        <v>1197</v>
      </c>
      <c r="B805" s="347" t="s">
        <v>279</v>
      </c>
      <c r="C805" s="347" t="s">
        <v>279</v>
      </c>
      <c r="D805" s="347" t="s">
        <v>970</v>
      </c>
      <c r="E805" s="347"/>
      <c r="F805" s="337">
        <f>F806+F808</f>
        <v>355.8</v>
      </c>
      <c r="G805" s="337">
        <f t="shared" ref="G805" si="409">G806+G808</f>
        <v>355.66899999999998</v>
      </c>
      <c r="H805" s="337">
        <f t="shared" si="395"/>
        <v>99.963181562675658</v>
      </c>
    </row>
    <row r="806" spans="1:8" s="210" customFormat="1" ht="78.75" hidden="1" x14ac:dyDescent="0.25">
      <c r="A806" s="349" t="s">
        <v>142</v>
      </c>
      <c r="B806" s="347" t="s">
        <v>279</v>
      </c>
      <c r="C806" s="347" t="s">
        <v>279</v>
      </c>
      <c r="D806" s="347" t="s">
        <v>970</v>
      </c>
      <c r="E806" s="347" t="s">
        <v>143</v>
      </c>
      <c r="F806" s="337">
        <f>F807</f>
        <v>0</v>
      </c>
      <c r="G806" s="337">
        <f t="shared" ref="G806" si="410">G807</f>
        <v>0</v>
      </c>
      <c r="H806" s="337" t="e">
        <f t="shared" si="395"/>
        <v>#DIV/0!</v>
      </c>
    </row>
    <row r="807" spans="1:8" s="210" customFormat="1" ht="18.75" hidden="1" customHeight="1" x14ac:dyDescent="0.25">
      <c r="A807" s="349" t="s">
        <v>357</v>
      </c>
      <c r="B807" s="347" t="s">
        <v>279</v>
      </c>
      <c r="C807" s="347" t="s">
        <v>279</v>
      </c>
      <c r="D807" s="347" t="s">
        <v>970</v>
      </c>
      <c r="E807" s="347" t="s">
        <v>224</v>
      </c>
      <c r="F807" s="337">
        <f>'Пр.4 ведом.20'!G353</f>
        <v>0</v>
      </c>
      <c r="G807" s="337">
        <f>'Пр.4 ведом.20'!H353</f>
        <v>0</v>
      </c>
      <c r="H807" s="337" t="e">
        <f t="shared" si="395"/>
        <v>#DIV/0!</v>
      </c>
    </row>
    <row r="808" spans="1:8" s="210" customFormat="1" ht="31.5" x14ac:dyDescent="0.25">
      <c r="A808" s="349" t="s">
        <v>146</v>
      </c>
      <c r="B808" s="347" t="s">
        <v>279</v>
      </c>
      <c r="C808" s="347" t="s">
        <v>279</v>
      </c>
      <c r="D808" s="347" t="s">
        <v>970</v>
      </c>
      <c r="E808" s="347" t="s">
        <v>147</v>
      </c>
      <c r="F808" s="337">
        <f>F809</f>
        <v>355.8</v>
      </c>
      <c r="G808" s="337">
        <f t="shared" ref="G808" si="411">G809</f>
        <v>355.66899999999998</v>
      </c>
      <c r="H808" s="337">
        <f t="shared" si="395"/>
        <v>99.963181562675658</v>
      </c>
    </row>
    <row r="809" spans="1:8" s="210" customFormat="1" ht="47.25" x14ac:dyDescent="0.25">
      <c r="A809" s="349" t="s">
        <v>148</v>
      </c>
      <c r="B809" s="347" t="s">
        <v>279</v>
      </c>
      <c r="C809" s="347" t="s">
        <v>279</v>
      </c>
      <c r="D809" s="347" t="s">
        <v>970</v>
      </c>
      <c r="E809" s="347" t="s">
        <v>149</v>
      </c>
      <c r="F809" s="337">
        <f>'Пр.4 ведом.20'!G355</f>
        <v>355.8</v>
      </c>
      <c r="G809" s="337">
        <f>'Пр.4 ведом.20'!H355</f>
        <v>355.66899999999998</v>
      </c>
      <c r="H809" s="337">
        <f t="shared" si="395"/>
        <v>99.963181562675658</v>
      </c>
    </row>
    <row r="810" spans="1:8" s="210" customFormat="1" ht="31.5" x14ac:dyDescent="0.25">
      <c r="A810" s="318" t="s">
        <v>1202</v>
      </c>
      <c r="B810" s="319" t="s">
        <v>279</v>
      </c>
      <c r="C810" s="319" t="s">
        <v>279</v>
      </c>
      <c r="D810" s="319" t="s">
        <v>1198</v>
      </c>
      <c r="E810" s="319"/>
      <c r="F810" s="4">
        <f>F811</f>
        <v>25</v>
      </c>
      <c r="G810" s="4">
        <f t="shared" ref="G810:G812" si="412">G811</f>
        <v>25</v>
      </c>
      <c r="H810" s="4">
        <f t="shared" si="395"/>
        <v>100</v>
      </c>
    </row>
    <row r="811" spans="1:8" s="210" customFormat="1" ht="47.25" x14ac:dyDescent="0.25">
      <c r="A811" s="239" t="s">
        <v>1199</v>
      </c>
      <c r="B811" s="347" t="s">
        <v>279</v>
      </c>
      <c r="C811" s="347" t="s">
        <v>279</v>
      </c>
      <c r="D811" s="347" t="s">
        <v>1220</v>
      </c>
      <c r="E811" s="347"/>
      <c r="F811" s="337">
        <f>F812</f>
        <v>25</v>
      </c>
      <c r="G811" s="337">
        <f t="shared" si="412"/>
        <v>25</v>
      </c>
      <c r="H811" s="337">
        <f t="shared" si="395"/>
        <v>100</v>
      </c>
    </row>
    <row r="812" spans="1:8" s="210" customFormat="1" ht="21.2" customHeight="1" x14ac:dyDescent="0.25">
      <c r="A812" s="349" t="s">
        <v>263</v>
      </c>
      <c r="B812" s="347" t="s">
        <v>279</v>
      </c>
      <c r="C812" s="347" t="s">
        <v>279</v>
      </c>
      <c r="D812" s="347" t="s">
        <v>1220</v>
      </c>
      <c r="E812" s="347" t="s">
        <v>264</v>
      </c>
      <c r="F812" s="337">
        <f>F813</f>
        <v>25</v>
      </c>
      <c r="G812" s="337">
        <f t="shared" si="412"/>
        <v>25</v>
      </c>
      <c r="H812" s="337">
        <f t="shared" si="395"/>
        <v>100</v>
      </c>
    </row>
    <row r="813" spans="1:8" s="210" customFormat="1" ht="31.5" x14ac:dyDescent="0.25">
      <c r="A813" s="349" t="s">
        <v>363</v>
      </c>
      <c r="B813" s="347" t="s">
        <v>279</v>
      </c>
      <c r="C813" s="347" t="s">
        <v>279</v>
      </c>
      <c r="D813" s="347" t="s">
        <v>1220</v>
      </c>
      <c r="E813" s="347" t="s">
        <v>364</v>
      </c>
      <c r="F813" s="337">
        <f>'Пр.4 ведом.20'!G359</f>
        <v>25</v>
      </c>
      <c r="G813" s="337">
        <f>'Пр.4 ведом.20'!H359</f>
        <v>25</v>
      </c>
      <c r="H813" s="337">
        <f t="shared" si="395"/>
        <v>100</v>
      </c>
    </row>
    <row r="814" spans="1:8" ht="47.25" x14ac:dyDescent="0.25">
      <c r="A814" s="318" t="s">
        <v>441</v>
      </c>
      <c r="B814" s="319" t="s">
        <v>279</v>
      </c>
      <c r="C814" s="319" t="s">
        <v>279</v>
      </c>
      <c r="D814" s="319" t="s">
        <v>421</v>
      </c>
      <c r="E814" s="319"/>
      <c r="F814" s="4">
        <f>F815</f>
        <v>4772.2999999999993</v>
      </c>
      <c r="G814" s="4">
        <f t="shared" ref="G814:G815" si="413">G815</f>
        <v>3655.71585</v>
      </c>
      <c r="H814" s="4">
        <f t="shared" si="395"/>
        <v>76.602808918131728</v>
      </c>
    </row>
    <row r="815" spans="1:8" ht="31.5" x14ac:dyDescent="0.25">
      <c r="A815" s="318" t="s">
        <v>482</v>
      </c>
      <c r="B815" s="319" t="s">
        <v>279</v>
      </c>
      <c r="C815" s="319" t="s">
        <v>483</v>
      </c>
      <c r="D815" s="319" t="s">
        <v>484</v>
      </c>
      <c r="E815" s="319"/>
      <c r="F815" s="4">
        <f>F816</f>
        <v>4772.2999999999993</v>
      </c>
      <c r="G815" s="4">
        <f t="shared" si="413"/>
        <v>3655.71585</v>
      </c>
      <c r="H815" s="4">
        <f t="shared" si="395"/>
        <v>76.602808918131728</v>
      </c>
    </row>
    <row r="816" spans="1:8" ht="31.5" x14ac:dyDescent="0.25">
      <c r="A816" s="318" t="s">
        <v>1054</v>
      </c>
      <c r="B816" s="319" t="s">
        <v>279</v>
      </c>
      <c r="C816" s="319" t="s">
        <v>279</v>
      </c>
      <c r="D816" s="319" t="s">
        <v>1055</v>
      </c>
      <c r="E816" s="319"/>
      <c r="F816" s="4">
        <f>F817+F820</f>
        <v>4772.2999999999993</v>
      </c>
      <c r="G816" s="4">
        <f t="shared" ref="G816" si="414">G817+G820</f>
        <v>3655.71585</v>
      </c>
      <c r="H816" s="4">
        <f t="shared" si="395"/>
        <v>76.602808918131728</v>
      </c>
    </row>
    <row r="817" spans="1:8" ht="42" customHeight="1" x14ac:dyDescent="0.25">
      <c r="A817" s="31" t="s">
        <v>1233</v>
      </c>
      <c r="B817" s="347" t="s">
        <v>279</v>
      </c>
      <c r="C817" s="347" t="s">
        <v>279</v>
      </c>
      <c r="D817" s="347" t="s">
        <v>1056</v>
      </c>
      <c r="E817" s="347"/>
      <c r="F817" s="337">
        <f>F818</f>
        <v>1693.4999999999995</v>
      </c>
      <c r="G817" s="337">
        <f t="shared" ref="G817:G818" si="415">G818</f>
        <v>1693.00845</v>
      </c>
      <c r="H817" s="337">
        <f t="shared" si="395"/>
        <v>99.970974313551835</v>
      </c>
    </row>
    <row r="818" spans="1:8" ht="35.450000000000003" customHeight="1" x14ac:dyDescent="0.25">
      <c r="A818" s="349" t="s">
        <v>287</v>
      </c>
      <c r="B818" s="347" t="s">
        <v>279</v>
      </c>
      <c r="C818" s="347" t="s">
        <v>279</v>
      </c>
      <c r="D818" s="347" t="s">
        <v>1056</v>
      </c>
      <c r="E818" s="347" t="s">
        <v>288</v>
      </c>
      <c r="F818" s="337">
        <f>F819</f>
        <v>1693.4999999999995</v>
      </c>
      <c r="G818" s="337">
        <f t="shared" si="415"/>
        <v>1693.00845</v>
      </c>
      <c r="H818" s="337">
        <f t="shared" si="395"/>
        <v>99.970974313551835</v>
      </c>
    </row>
    <row r="819" spans="1:8" ht="15.75" x14ac:dyDescent="0.25">
      <c r="A819" s="349" t="s">
        <v>289</v>
      </c>
      <c r="B819" s="347" t="s">
        <v>279</v>
      </c>
      <c r="C819" s="347" t="s">
        <v>279</v>
      </c>
      <c r="D819" s="347" t="s">
        <v>1056</v>
      </c>
      <c r="E819" s="347" t="s">
        <v>290</v>
      </c>
      <c r="F819" s="337">
        <f>'Пр.4 ведом.20'!G815</f>
        <v>1693.4999999999995</v>
      </c>
      <c r="G819" s="337">
        <f>'Пр.4 ведом.20'!H815</f>
        <v>1693.00845</v>
      </c>
      <c r="H819" s="337">
        <f t="shared" si="395"/>
        <v>99.970974313551835</v>
      </c>
    </row>
    <row r="820" spans="1:8" ht="31.5" x14ac:dyDescent="0.25">
      <c r="A820" s="31" t="s">
        <v>489</v>
      </c>
      <c r="B820" s="347" t="s">
        <v>279</v>
      </c>
      <c r="C820" s="347" t="s">
        <v>279</v>
      </c>
      <c r="D820" s="347" t="s">
        <v>1057</v>
      </c>
      <c r="E820" s="347"/>
      <c r="F820" s="337">
        <f>F821</f>
        <v>3078.8</v>
      </c>
      <c r="G820" s="337">
        <f t="shared" ref="G820:G821" si="416">G821</f>
        <v>1962.7074</v>
      </c>
      <c r="H820" s="337">
        <f t="shared" si="395"/>
        <v>63.74910354683643</v>
      </c>
    </row>
    <row r="821" spans="1:8" ht="31.5" x14ac:dyDescent="0.25">
      <c r="A821" s="349" t="s">
        <v>287</v>
      </c>
      <c r="B821" s="347" t="s">
        <v>279</v>
      </c>
      <c r="C821" s="347" t="s">
        <v>279</v>
      </c>
      <c r="D821" s="347" t="s">
        <v>1057</v>
      </c>
      <c r="E821" s="347" t="s">
        <v>288</v>
      </c>
      <c r="F821" s="337">
        <f>F822</f>
        <v>3078.8</v>
      </c>
      <c r="G821" s="337">
        <f t="shared" si="416"/>
        <v>1962.7074</v>
      </c>
      <c r="H821" s="337">
        <f t="shared" si="395"/>
        <v>63.74910354683643</v>
      </c>
    </row>
    <row r="822" spans="1:8" ht="15.75" x14ac:dyDescent="0.25">
      <c r="A822" s="349" t="s">
        <v>289</v>
      </c>
      <c r="B822" s="347" t="s">
        <v>279</v>
      </c>
      <c r="C822" s="347" t="s">
        <v>279</v>
      </c>
      <c r="D822" s="347" t="s">
        <v>1057</v>
      </c>
      <c r="E822" s="347" t="s">
        <v>290</v>
      </c>
      <c r="F822" s="337">
        <f>'Пр.4 ведом.20'!G818</f>
        <v>3078.8</v>
      </c>
      <c r="G822" s="337">
        <f>'Пр.4 ведом.20'!H818</f>
        <v>1962.7074</v>
      </c>
      <c r="H822" s="337">
        <f t="shared" si="395"/>
        <v>63.74910354683643</v>
      </c>
    </row>
    <row r="823" spans="1:8" ht="15" customHeight="1" x14ac:dyDescent="0.25">
      <c r="A823" s="318" t="s">
        <v>310</v>
      </c>
      <c r="B823" s="319" t="s">
        <v>279</v>
      </c>
      <c r="C823" s="319" t="s">
        <v>234</v>
      </c>
      <c r="D823" s="319"/>
      <c r="E823" s="319"/>
      <c r="F823" s="4">
        <f>F824+F837</f>
        <v>20819.267749999999</v>
      </c>
      <c r="G823" s="4">
        <f t="shared" ref="G823" si="417">G824+G837</f>
        <v>19823.386190000001</v>
      </c>
      <c r="H823" s="4">
        <f t="shared" si="395"/>
        <v>95.216538967851079</v>
      </c>
    </row>
    <row r="824" spans="1:8" ht="31.5" x14ac:dyDescent="0.25">
      <c r="A824" s="318" t="s">
        <v>988</v>
      </c>
      <c r="B824" s="319" t="s">
        <v>279</v>
      </c>
      <c r="C824" s="319" t="s">
        <v>234</v>
      </c>
      <c r="D824" s="319" t="s">
        <v>902</v>
      </c>
      <c r="E824" s="319"/>
      <c r="F824" s="4">
        <f>F825</f>
        <v>6372.7697500000004</v>
      </c>
      <c r="G824" s="4">
        <f t="shared" ref="G824" si="418">G825</f>
        <v>6103.5351200000005</v>
      </c>
      <c r="H824" s="4">
        <f t="shared" si="395"/>
        <v>95.775233680771223</v>
      </c>
    </row>
    <row r="825" spans="1:8" ht="15.75" x14ac:dyDescent="0.25">
      <c r="A825" s="318" t="s">
        <v>989</v>
      </c>
      <c r="B825" s="319" t="s">
        <v>279</v>
      </c>
      <c r="C825" s="319" t="s">
        <v>234</v>
      </c>
      <c r="D825" s="319" t="s">
        <v>903</v>
      </c>
      <c r="E825" s="319"/>
      <c r="F825" s="4">
        <f>F826+F831+F834</f>
        <v>6372.7697500000004</v>
      </c>
      <c r="G825" s="4">
        <f t="shared" ref="G825" si="419">G826+G831+G834</f>
        <v>6103.5351200000005</v>
      </c>
      <c r="H825" s="4">
        <f t="shared" si="395"/>
        <v>95.775233680771223</v>
      </c>
    </row>
    <row r="826" spans="1:8" ht="31.5" x14ac:dyDescent="0.25">
      <c r="A826" s="349" t="s">
        <v>965</v>
      </c>
      <c r="B826" s="347" t="s">
        <v>279</v>
      </c>
      <c r="C826" s="347" t="s">
        <v>234</v>
      </c>
      <c r="D826" s="347" t="s">
        <v>904</v>
      </c>
      <c r="E826" s="347"/>
      <c r="F826" s="337">
        <f>F827+F829</f>
        <v>6288.1949999999997</v>
      </c>
      <c r="G826" s="337">
        <f t="shared" ref="G826" si="420">G827+G829</f>
        <v>6018.9603699999998</v>
      </c>
      <c r="H826" s="337">
        <f t="shared" si="395"/>
        <v>95.718411563254634</v>
      </c>
    </row>
    <row r="827" spans="1:8" ht="78.75" x14ac:dyDescent="0.25">
      <c r="A827" s="349" t="s">
        <v>142</v>
      </c>
      <c r="B827" s="347" t="s">
        <v>279</v>
      </c>
      <c r="C827" s="347" t="s">
        <v>234</v>
      </c>
      <c r="D827" s="347" t="s">
        <v>904</v>
      </c>
      <c r="E827" s="347" t="s">
        <v>143</v>
      </c>
      <c r="F827" s="337">
        <f>F828</f>
        <v>5904.41</v>
      </c>
      <c r="G827" s="337">
        <f t="shared" ref="G827" si="421">G828</f>
        <v>5691.0147699999998</v>
      </c>
      <c r="H827" s="337">
        <f t="shared" si="395"/>
        <v>96.385833131506786</v>
      </c>
    </row>
    <row r="828" spans="1:8" ht="36.75" customHeight="1" x14ac:dyDescent="0.25">
      <c r="A828" s="349" t="s">
        <v>144</v>
      </c>
      <c r="B828" s="347" t="s">
        <v>279</v>
      </c>
      <c r="C828" s="347" t="s">
        <v>234</v>
      </c>
      <c r="D828" s="347" t="s">
        <v>904</v>
      </c>
      <c r="E828" s="347" t="s">
        <v>145</v>
      </c>
      <c r="F828" s="337">
        <f>'Пр.4 ведом.20'!G824</f>
        <v>5904.41</v>
      </c>
      <c r="G828" s="337">
        <f>'Пр.4 ведом.20'!H824</f>
        <v>5691.0147699999998</v>
      </c>
      <c r="H828" s="337">
        <f t="shared" si="395"/>
        <v>96.385833131506786</v>
      </c>
    </row>
    <row r="829" spans="1:8" ht="31.5" x14ac:dyDescent="0.25">
      <c r="A829" s="349" t="s">
        <v>146</v>
      </c>
      <c r="B829" s="347" t="s">
        <v>279</v>
      </c>
      <c r="C829" s="347" t="s">
        <v>234</v>
      </c>
      <c r="D829" s="347" t="s">
        <v>904</v>
      </c>
      <c r="E829" s="347" t="s">
        <v>147</v>
      </c>
      <c r="F829" s="337">
        <f>F830</f>
        <v>383.78499999999997</v>
      </c>
      <c r="G829" s="337">
        <f t="shared" ref="G829" si="422">G830</f>
        <v>327.94560000000001</v>
      </c>
      <c r="H829" s="337">
        <f t="shared" si="395"/>
        <v>85.450343291165638</v>
      </c>
    </row>
    <row r="830" spans="1:8" ht="47.25" x14ac:dyDescent="0.25">
      <c r="A830" s="349" t="s">
        <v>148</v>
      </c>
      <c r="B830" s="347" t="s">
        <v>279</v>
      </c>
      <c r="C830" s="347" t="s">
        <v>234</v>
      </c>
      <c r="D830" s="347" t="s">
        <v>904</v>
      </c>
      <c r="E830" s="347" t="s">
        <v>149</v>
      </c>
      <c r="F830" s="337">
        <f>'Пр.4 ведом.20'!G826</f>
        <v>383.78499999999997</v>
      </c>
      <c r="G830" s="337">
        <f>'Пр.4 ведом.20'!H826</f>
        <v>327.94560000000001</v>
      </c>
      <c r="H830" s="337">
        <f t="shared" si="395"/>
        <v>85.450343291165638</v>
      </c>
    </row>
    <row r="831" spans="1:8" ht="47.25" x14ac:dyDescent="0.25">
      <c r="A831" s="349" t="s">
        <v>883</v>
      </c>
      <c r="B831" s="347" t="s">
        <v>279</v>
      </c>
      <c r="C831" s="347" t="s">
        <v>234</v>
      </c>
      <c r="D831" s="347" t="s">
        <v>906</v>
      </c>
      <c r="E831" s="347"/>
      <c r="F831" s="337">
        <f>F832</f>
        <v>39.765000000000001</v>
      </c>
      <c r="G831" s="337">
        <f t="shared" ref="G831:G832" si="423">G832</f>
        <v>39.765000000000001</v>
      </c>
      <c r="H831" s="337">
        <f t="shared" si="395"/>
        <v>100</v>
      </c>
    </row>
    <row r="832" spans="1:8" ht="78.75" x14ac:dyDescent="0.25">
      <c r="A832" s="349" t="s">
        <v>142</v>
      </c>
      <c r="B832" s="347" t="s">
        <v>279</v>
      </c>
      <c r="C832" s="347" t="s">
        <v>234</v>
      </c>
      <c r="D832" s="347" t="s">
        <v>906</v>
      </c>
      <c r="E832" s="347" t="s">
        <v>143</v>
      </c>
      <c r="F832" s="337">
        <f>F833</f>
        <v>39.765000000000001</v>
      </c>
      <c r="G832" s="337">
        <f t="shared" si="423"/>
        <v>39.765000000000001</v>
      </c>
      <c r="H832" s="337">
        <f t="shared" si="395"/>
        <v>100</v>
      </c>
    </row>
    <row r="833" spans="1:8" ht="31.5" x14ac:dyDescent="0.25">
      <c r="A833" s="349" t="s">
        <v>144</v>
      </c>
      <c r="B833" s="347" t="s">
        <v>279</v>
      </c>
      <c r="C833" s="347" t="s">
        <v>234</v>
      </c>
      <c r="D833" s="347" t="s">
        <v>906</v>
      </c>
      <c r="E833" s="347" t="s">
        <v>145</v>
      </c>
      <c r="F833" s="337">
        <f>'Пр.4 ведом.20'!G829</f>
        <v>39.765000000000001</v>
      </c>
      <c r="G833" s="337">
        <f>'Пр.4 ведом.20'!H829</f>
        <v>39.765000000000001</v>
      </c>
      <c r="H833" s="337">
        <f t="shared" si="395"/>
        <v>100</v>
      </c>
    </row>
    <row r="834" spans="1:8" s="345" customFormat="1" ht="31.5" x14ac:dyDescent="0.25">
      <c r="A834" s="349" t="s">
        <v>1582</v>
      </c>
      <c r="B834" s="347" t="s">
        <v>279</v>
      </c>
      <c r="C834" s="347" t="s">
        <v>234</v>
      </c>
      <c r="D834" s="347" t="s">
        <v>1584</v>
      </c>
      <c r="E834" s="347"/>
      <c r="F834" s="337">
        <f>F835</f>
        <v>44.809750000000001</v>
      </c>
      <c r="G834" s="337">
        <f t="shared" ref="G834:G835" si="424">G835</f>
        <v>44.809750000000001</v>
      </c>
      <c r="H834" s="337">
        <f t="shared" si="395"/>
        <v>100</v>
      </c>
    </row>
    <row r="835" spans="1:8" s="345" customFormat="1" ht="78.75" x14ac:dyDescent="0.25">
      <c r="A835" s="349" t="s">
        <v>142</v>
      </c>
      <c r="B835" s="347" t="s">
        <v>279</v>
      </c>
      <c r="C835" s="347" t="s">
        <v>234</v>
      </c>
      <c r="D835" s="347" t="s">
        <v>1584</v>
      </c>
      <c r="E835" s="347" t="s">
        <v>143</v>
      </c>
      <c r="F835" s="337">
        <f>F836</f>
        <v>44.809750000000001</v>
      </c>
      <c r="G835" s="337">
        <f t="shared" si="424"/>
        <v>44.809750000000001</v>
      </c>
      <c r="H835" s="337">
        <f t="shared" si="395"/>
        <v>100</v>
      </c>
    </row>
    <row r="836" spans="1:8" s="345" customFormat="1" ht="31.5" x14ac:dyDescent="0.25">
      <c r="A836" s="349" t="s">
        <v>144</v>
      </c>
      <c r="B836" s="347" t="s">
        <v>279</v>
      </c>
      <c r="C836" s="347" t="s">
        <v>234</v>
      </c>
      <c r="D836" s="347" t="s">
        <v>1584</v>
      </c>
      <c r="E836" s="347" t="s">
        <v>145</v>
      </c>
      <c r="F836" s="337">
        <f>'Пр.4 ведом.20'!G832</f>
        <v>44.809750000000001</v>
      </c>
      <c r="G836" s="337">
        <f>'Пр.4 ведом.20'!H832</f>
        <v>44.809750000000001</v>
      </c>
      <c r="H836" s="337">
        <f t="shared" si="395"/>
        <v>100</v>
      </c>
    </row>
    <row r="837" spans="1:8" ht="15.75" x14ac:dyDescent="0.25">
      <c r="A837" s="318" t="s">
        <v>156</v>
      </c>
      <c r="B837" s="319" t="s">
        <v>279</v>
      </c>
      <c r="C837" s="319" t="s">
        <v>234</v>
      </c>
      <c r="D837" s="319" t="s">
        <v>910</v>
      </c>
      <c r="E837" s="319"/>
      <c r="F837" s="4">
        <f>F838+F842</f>
        <v>14446.497999999998</v>
      </c>
      <c r="G837" s="4">
        <f t="shared" ref="G837" si="425">G838+G842</f>
        <v>13719.851070000001</v>
      </c>
      <c r="H837" s="4">
        <f t="shared" si="395"/>
        <v>94.970082507193112</v>
      </c>
    </row>
    <row r="838" spans="1:8" ht="31.5" x14ac:dyDescent="0.25">
      <c r="A838" s="318" t="s">
        <v>914</v>
      </c>
      <c r="B838" s="319" t="s">
        <v>279</v>
      </c>
      <c r="C838" s="319" t="s">
        <v>234</v>
      </c>
      <c r="D838" s="319" t="s">
        <v>909</v>
      </c>
      <c r="E838" s="319"/>
      <c r="F838" s="4">
        <f>F839</f>
        <v>420.005</v>
      </c>
      <c r="G838" s="4">
        <f t="shared" ref="G838:G840" si="426">G839</f>
        <v>411.07342999999997</v>
      </c>
      <c r="H838" s="4">
        <f t="shared" si="395"/>
        <v>97.873461030225826</v>
      </c>
    </row>
    <row r="839" spans="1:8" ht="15.75" x14ac:dyDescent="0.25">
      <c r="A839" s="349" t="s">
        <v>493</v>
      </c>
      <c r="B839" s="347" t="s">
        <v>279</v>
      </c>
      <c r="C839" s="347" t="s">
        <v>234</v>
      </c>
      <c r="D839" s="347" t="s">
        <v>1058</v>
      </c>
      <c r="E839" s="347"/>
      <c r="F839" s="337">
        <f>F840</f>
        <v>420.005</v>
      </c>
      <c r="G839" s="337">
        <f t="shared" si="426"/>
        <v>411.07342999999997</v>
      </c>
      <c r="H839" s="337">
        <f t="shared" si="395"/>
        <v>97.873461030225826</v>
      </c>
    </row>
    <row r="840" spans="1:8" ht="31.5" x14ac:dyDescent="0.25">
      <c r="A840" s="349" t="s">
        <v>146</v>
      </c>
      <c r="B840" s="347" t="s">
        <v>279</v>
      </c>
      <c r="C840" s="347" t="s">
        <v>234</v>
      </c>
      <c r="D840" s="347" t="s">
        <v>1058</v>
      </c>
      <c r="E840" s="347" t="s">
        <v>147</v>
      </c>
      <c r="F840" s="337">
        <f>F841</f>
        <v>420.005</v>
      </c>
      <c r="G840" s="337">
        <f t="shared" si="426"/>
        <v>411.07342999999997</v>
      </c>
      <c r="H840" s="337">
        <f t="shared" si="395"/>
        <v>97.873461030225826</v>
      </c>
    </row>
    <row r="841" spans="1:8" ht="39.75" customHeight="1" x14ac:dyDescent="0.25">
      <c r="A841" s="349" t="s">
        <v>148</v>
      </c>
      <c r="B841" s="347" t="s">
        <v>279</v>
      </c>
      <c r="C841" s="347" t="s">
        <v>234</v>
      </c>
      <c r="D841" s="347" t="s">
        <v>1058</v>
      </c>
      <c r="E841" s="347" t="s">
        <v>149</v>
      </c>
      <c r="F841" s="337">
        <f>'Пр.4 ведом.20'!G837</f>
        <v>420.005</v>
      </c>
      <c r="G841" s="337">
        <f>'Пр.4 ведом.20'!H837</f>
        <v>411.07342999999997</v>
      </c>
      <c r="H841" s="337">
        <f t="shared" ref="H841:H904" si="427">G841/F841*100</f>
        <v>97.873461030225826</v>
      </c>
    </row>
    <row r="842" spans="1:8" ht="36.75" customHeight="1" x14ac:dyDescent="0.25">
      <c r="A842" s="318" t="s">
        <v>1000</v>
      </c>
      <c r="B842" s="319" t="s">
        <v>279</v>
      </c>
      <c r="C842" s="319" t="s">
        <v>234</v>
      </c>
      <c r="D842" s="319" t="s">
        <v>985</v>
      </c>
      <c r="E842" s="319"/>
      <c r="F842" s="4">
        <f>F843+F850</f>
        <v>14026.492999999999</v>
      </c>
      <c r="G842" s="4">
        <f t="shared" ref="G842" si="428">G843+G850</f>
        <v>13308.77764</v>
      </c>
      <c r="H842" s="4">
        <f t="shared" si="427"/>
        <v>94.883144632090151</v>
      </c>
    </row>
    <row r="843" spans="1:8" ht="31.5" x14ac:dyDescent="0.25">
      <c r="A843" s="349" t="s">
        <v>972</v>
      </c>
      <c r="B843" s="347" t="s">
        <v>279</v>
      </c>
      <c r="C843" s="347" t="s">
        <v>234</v>
      </c>
      <c r="D843" s="347" t="s">
        <v>986</v>
      </c>
      <c r="E843" s="347"/>
      <c r="F843" s="293">
        <f>F844+F846+F848</f>
        <v>13777.199999999999</v>
      </c>
      <c r="G843" s="293">
        <f t="shared" ref="G843" si="429">G844+G846+G848</f>
        <v>13059.484640000001</v>
      </c>
      <c r="H843" s="337">
        <f t="shared" si="427"/>
        <v>94.79055715239673</v>
      </c>
    </row>
    <row r="844" spans="1:8" ht="78.75" x14ac:dyDescent="0.25">
      <c r="A844" s="349" t="s">
        <v>142</v>
      </c>
      <c r="B844" s="347" t="s">
        <v>279</v>
      </c>
      <c r="C844" s="347" t="s">
        <v>234</v>
      </c>
      <c r="D844" s="347" t="s">
        <v>986</v>
      </c>
      <c r="E844" s="347" t="s">
        <v>143</v>
      </c>
      <c r="F844" s="293">
        <f>F845</f>
        <v>12685.199999999999</v>
      </c>
      <c r="G844" s="293">
        <f t="shared" ref="G844" si="430">G845</f>
        <v>12166.06221</v>
      </c>
      <c r="H844" s="337">
        <f t="shared" si="427"/>
        <v>95.907531690473945</v>
      </c>
    </row>
    <row r="845" spans="1:8" ht="24" customHeight="1" x14ac:dyDescent="0.25">
      <c r="A845" s="349" t="s">
        <v>357</v>
      </c>
      <c r="B845" s="347" t="s">
        <v>279</v>
      </c>
      <c r="C845" s="347" t="s">
        <v>234</v>
      </c>
      <c r="D845" s="347" t="s">
        <v>986</v>
      </c>
      <c r="E845" s="347" t="s">
        <v>224</v>
      </c>
      <c r="F845" s="337">
        <f>'Пр.4 ведом.20'!G841</f>
        <v>12685.199999999999</v>
      </c>
      <c r="G845" s="337">
        <f>'Пр.4 ведом.20'!H841</f>
        <v>12166.06221</v>
      </c>
      <c r="H845" s="337">
        <f t="shared" si="427"/>
        <v>95.907531690473945</v>
      </c>
    </row>
    <row r="846" spans="1:8" ht="31.5" x14ac:dyDescent="0.25">
      <c r="A846" s="349" t="s">
        <v>146</v>
      </c>
      <c r="B846" s="347" t="s">
        <v>279</v>
      </c>
      <c r="C846" s="347" t="s">
        <v>234</v>
      </c>
      <c r="D846" s="347" t="s">
        <v>986</v>
      </c>
      <c r="E846" s="347" t="s">
        <v>147</v>
      </c>
      <c r="F846" s="337">
        <f>F847</f>
        <v>1077</v>
      </c>
      <c r="G846" s="337">
        <f t="shared" ref="G846" si="431">G847</f>
        <v>892.11496</v>
      </c>
      <c r="H846" s="337">
        <f t="shared" si="427"/>
        <v>82.833329619312906</v>
      </c>
    </row>
    <row r="847" spans="1:8" ht="31.7" customHeight="1" x14ac:dyDescent="0.25">
      <c r="A847" s="349" t="s">
        <v>148</v>
      </c>
      <c r="B847" s="347" t="s">
        <v>279</v>
      </c>
      <c r="C847" s="347" t="s">
        <v>234</v>
      </c>
      <c r="D847" s="347" t="s">
        <v>986</v>
      </c>
      <c r="E847" s="347" t="s">
        <v>149</v>
      </c>
      <c r="F847" s="337">
        <f>'Пр.4 ведом.20'!G843</f>
        <v>1077</v>
      </c>
      <c r="G847" s="337">
        <f>'Пр.4 ведом.20'!H843</f>
        <v>892.11496</v>
      </c>
      <c r="H847" s="337">
        <f t="shared" si="427"/>
        <v>82.833329619312906</v>
      </c>
    </row>
    <row r="848" spans="1:8" ht="22.7" customHeight="1" x14ac:dyDescent="0.25">
      <c r="A848" s="349" t="s">
        <v>150</v>
      </c>
      <c r="B848" s="347" t="s">
        <v>279</v>
      </c>
      <c r="C848" s="347" t="s">
        <v>234</v>
      </c>
      <c r="D848" s="347" t="s">
        <v>986</v>
      </c>
      <c r="E848" s="347" t="s">
        <v>160</v>
      </c>
      <c r="F848" s="337">
        <f t="shared" ref="F848:G848" si="432">F849</f>
        <v>15</v>
      </c>
      <c r="G848" s="337">
        <f t="shared" si="432"/>
        <v>1.3074699999999999</v>
      </c>
      <c r="H848" s="337">
        <f t="shared" si="427"/>
        <v>8.7164666666666655</v>
      </c>
    </row>
    <row r="849" spans="1:12" ht="15.75" customHeight="1" x14ac:dyDescent="0.25">
      <c r="A849" s="349" t="s">
        <v>583</v>
      </c>
      <c r="B849" s="347" t="s">
        <v>279</v>
      </c>
      <c r="C849" s="347" t="s">
        <v>234</v>
      </c>
      <c r="D849" s="347" t="s">
        <v>986</v>
      </c>
      <c r="E849" s="347" t="s">
        <v>153</v>
      </c>
      <c r="F849" s="337">
        <f>'Пр.4 ведом.20'!G845</f>
        <v>15</v>
      </c>
      <c r="G849" s="337">
        <f>'Пр.4 ведом.20'!H845</f>
        <v>1.3074699999999999</v>
      </c>
      <c r="H849" s="337">
        <f t="shared" si="427"/>
        <v>8.7164666666666655</v>
      </c>
    </row>
    <row r="850" spans="1:12" ht="47.25" customHeight="1" x14ac:dyDescent="0.25">
      <c r="A850" s="349" t="s">
        <v>883</v>
      </c>
      <c r="B850" s="347" t="s">
        <v>279</v>
      </c>
      <c r="C850" s="347" t="s">
        <v>234</v>
      </c>
      <c r="D850" s="347" t="s">
        <v>987</v>
      </c>
      <c r="E850" s="347"/>
      <c r="F850" s="337">
        <f>F851</f>
        <v>249.29300000000001</v>
      </c>
      <c r="G850" s="337">
        <f t="shared" ref="G850:G851" si="433">G851</f>
        <v>249.29300000000001</v>
      </c>
      <c r="H850" s="337">
        <f t="shared" si="427"/>
        <v>100</v>
      </c>
    </row>
    <row r="851" spans="1:12" ht="78.75" x14ac:dyDescent="0.25">
      <c r="A851" s="349" t="s">
        <v>142</v>
      </c>
      <c r="B851" s="347" t="s">
        <v>279</v>
      </c>
      <c r="C851" s="347" t="s">
        <v>234</v>
      </c>
      <c r="D851" s="347" t="s">
        <v>987</v>
      </c>
      <c r="E851" s="347" t="s">
        <v>143</v>
      </c>
      <c r="F851" s="337">
        <f>F852</f>
        <v>249.29300000000001</v>
      </c>
      <c r="G851" s="337">
        <f t="shared" si="433"/>
        <v>249.29300000000001</v>
      </c>
      <c r="H851" s="337">
        <f t="shared" si="427"/>
        <v>100</v>
      </c>
    </row>
    <row r="852" spans="1:12" ht="31.5" x14ac:dyDescent="0.25">
      <c r="A852" s="349" t="s">
        <v>144</v>
      </c>
      <c r="B852" s="347" t="s">
        <v>279</v>
      </c>
      <c r="C852" s="347" t="s">
        <v>234</v>
      </c>
      <c r="D852" s="347" t="s">
        <v>987</v>
      </c>
      <c r="E852" s="347" t="s">
        <v>145</v>
      </c>
      <c r="F852" s="337">
        <f>'Пр.4 ведом.20'!G848</f>
        <v>249.29300000000001</v>
      </c>
      <c r="G852" s="337">
        <f>'Пр.4 ведом.20'!H848</f>
        <v>249.29300000000001</v>
      </c>
      <c r="H852" s="337">
        <f t="shared" si="427"/>
        <v>100</v>
      </c>
    </row>
    <row r="853" spans="1:12" ht="15.75" x14ac:dyDescent="0.25">
      <c r="A853" s="41" t="s">
        <v>313</v>
      </c>
      <c r="B853" s="312" t="s">
        <v>314</v>
      </c>
      <c r="C853" s="312"/>
      <c r="D853" s="312"/>
      <c r="E853" s="312"/>
      <c r="F853" s="4">
        <f>F854+F933</f>
        <v>73304.71375000001</v>
      </c>
      <c r="G853" s="4">
        <f t="shared" ref="G853" si="434">G854+G933</f>
        <v>72713.185769999996</v>
      </c>
      <c r="H853" s="4">
        <f t="shared" si="427"/>
        <v>99.193056012717847</v>
      </c>
    </row>
    <row r="854" spans="1:12" ht="15.75" x14ac:dyDescent="0.25">
      <c r="A854" s="41" t="s">
        <v>315</v>
      </c>
      <c r="B854" s="312" t="s">
        <v>314</v>
      </c>
      <c r="C854" s="312" t="s">
        <v>133</v>
      </c>
      <c r="D854" s="312"/>
      <c r="E854" s="312"/>
      <c r="F854" s="4">
        <f>F855+F923+F928</f>
        <v>55428.523000000001</v>
      </c>
      <c r="G854" s="4">
        <f t="shared" ref="G854" si="435">G855+G923+G928</f>
        <v>54851.02399999999</v>
      </c>
      <c r="H854" s="4">
        <f t="shared" si="427"/>
        <v>98.958119450521878</v>
      </c>
      <c r="I854" s="22"/>
      <c r="J854" s="22"/>
    </row>
    <row r="855" spans="1:12" ht="34.5" customHeight="1" x14ac:dyDescent="0.25">
      <c r="A855" s="318" t="s">
        <v>281</v>
      </c>
      <c r="B855" s="319" t="s">
        <v>314</v>
      </c>
      <c r="C855" s="319" t="s">
        <v>133</v>
      </c>
      <c r="D855" s="319" t="s">
        <v>282</v>
      </c>
      <c r="E855" s="319"/>
      <c r="F855" s="4">
        <f>F856+F889</f>
        <v>54493.923000000003</v>
      </c>
      <c r="G855" s="4">
        <f t="shared" ref="G855" si="436">G856+G889</f>
        <v>53916.501869999993</v>
      </c>
      <c r="H855" s="4">
        <f t="shared" si="427"/>
        <v>98.940393537092191</v>
      </c>
    </row>
    <row r="856" spans="1:12" ht="63" x14ac:dyDescent="0.25">
      <c r="A856" s="318" t="s">
        <v>316</v>
      </c>
      <c r="B856" s="319" t="s">
        <v>314</v>
      </c>
      <c r="C856" s="319" t="s">
        <v>133</v>
      </c>
      <c r="D856" s="319" t="s">
        <v>317</v>
      </c>
      <c r="E856" s="319"/>
      <c r="F856" s="4">
        <f>F857+F865+F874+F878+F885</f>
        <v>30949.222999999998</v>
      </c>
      <c r="G856" s="4">
        <f t="shared" ref="G856" si="437">G857+G865+G874+G878+G885</f>
        <v>30562.373779999998</v>
      </c>
      <c r="H856" s="4">
        <f t="shared" si="427"/>
        <v>98.750051915681368</v>
      </c>
    </row>
    <row r="857" spans="1:12" ht="34.5" customHeight="1" x14ac:dyDescent="0.25">
      <c r="A857" s="318" t="s">
        <v>954</v>
      </c>
      <c r="B857" s="319" t="s">
        <v>314</v>
      </c>
      <c r="C857" s="319" t="s">
        <v>133</v>
      </c>
      <c r="D857" s="319" t="s">
        <v>955</v>
      </c>
      <c r="E857" s="319"/>
      <c r="F857" s="4">
        <f>F858</f>
        <v>26447.599999999999</v>
      </c>
      <c r="G857" s="4">
        <f t="shared" ref="G857" si="438">G858</f>
        <v>26061.836389999997</v>
      </c>
      <c r="H857" s="4">
        <f t="shared" si="427"/>
        <v>98.54140409715815</v>
      </c>
    </row>
    <row r="858" spans="1:12" ht="15.75" x14ac:dyDescent="0.25">
      <c r="A858" s="349" t="s">
        <v>830</v>
      </c>
      <c r="B858" s="347" t="s">
        <v>314</v>
      </c>
      <c r="C858" s="347" t="s">
        <v>133</v>
      </c>
      <c r="D858" s="347" t="s">
        <v>953</v>
      </c>
      <c r="E858" s="347"/>
      <c r="F858" s="337">
        <f>F859+F861+F863</f>
        <v>26447.599999999999</v>
      </c>
      <c r="G858" s="337">
        <f t="shared" ref="G858" si="439">G859+G861+G863</f>
        <v>26061.836389999997</v>
      </c>
      <c r="H858" s="337">
        <f t="shared" si="427"/>
        <v>98.54140409715815</v>
      </c>
    </row>
    <row r="859" spans="1:12" ht="78.75" x14ac:dyDescent="0.25">
      <c r="A859" s="349" t="s">
        <v>142</v>
      </c>
      <c r="B859" s="347" t="s">
        <v>314</v>
      </c>
      <c r="C859" s="347" t="s">
        <v>133</v>
      </c>
      <c r="D859" s="347" t="s">
        <v>953</v>
      </c>
      <c r="E859" s="347" t="s">
        <v>143</v>
      </c>
      <c r="F859" s="337">
        <f>F860</f>
        <v>20682.099999999999</v>
      </c>
      <c r="G859" s="337">
        <f t="shared" ref="G859" si="440">G860</f>
        <v>20671.952399999998</v>
      </c>
      <c r="H859" s="337">
        <f t="shared" si="427"/>
        <v>99.950935349891935</v>
      </c>
    </row>
    <row r="860" spans="1:12" ht="31.5" x14ac:dyDescent="0.25">
      <c r="A860" s="349" t="s">
        <v>223</v>
      </c>
      <c r="B860" s="347" t="s">
        <v>314</v>
      </c>
      <c r="C860" s="347" t="s">
        <v>133</v>
      </c>
      <c r="D860" s="347" t="s">
        <v>953</v>
      </c>
      <c r="E860" s="347" t="s">
        <v>224</v>
      </c>
      <c r="F860" s="337">
        <f>'Пр.4 ведом.20'!G367</f>
        <v>20682.099999999999</v>
      </c>
      <c r="G860" s="337">
        <f>'Пр.4 ведом.20'!H367</f>
        <v>20671.952399999998</v>
      </c>
      <c r="H860" s="337">
        <f t="shared" si="427"/>
        <v>99.950935349891935</v>
      </c>
    </row>
    <row r="861" spans="1:12" ht="31.5" x14ac:dyDescent="0.25">
      <c r="A861" s="349" t="s">
        <v>146</v>
      </c>
      <c r="B861" s="347" t="s">
        <v>314</v>
      </c>
      <c r="C861" s="347" t="s">
        <v>133</v>
      </c>
      <c r="D861" s="347" t="s">
        <v>953</v>
      </c>
      <c r="E861" s="347" t="s">
        <v>147</v>
      </c>
      <c r="F861" s="337">
        <f>F862</f>
        <v>5634.7</v>
      </c>
      <c r="G861" s="337">
        <f t="shared" ref="G861" si="441">G862</f>
        <v>5259.1719999999996</v>
      </c>
      <c r="H861" s="337">
        <f t="shared" si="427"/>
        <v>93.33543933128648</v>
      </c>
      <c r="L861" s="22"/>
    </row>
    <row r="862" spans="1:12" ht="47.25" x14ac:dyDescent="0.25">
      <c r="A862" s="349" t="s">
        <v>148</v>
      </c>
      <c r="B862" s="347" t="s">
        <v>314</v>
      </c>
      <c r="C862" s="347" t="s">
        <v>133</v>
      </c>
      <c r="D862" s="347" t="s">
        <v>953</v>
      </c>
      <c r="E862" s="347" t="s">
        <v>149</v>
      </c>
      <c r="F862" s="337">
        <f>'Пр.4 ведом.20'!G369</f>
        <v>5634.7</v>
      </c>
      <c r="G862" s="337">
        <f>'Пр.4 ведом.20'!H369</f>
        <v>5259.1719999999996</v>
      </c>
      <c r="H862" s="337">
        <f t="shared" si="427"/>
        <v>93.33543933128648</v>
      </c>
    </row>
    <row r="863" spans="1:12" ht="15.75" x14ac:dyDescent="0.25">
      <c r="A863" s="349" t="s">
        <v>150</v>
      </c>
      <c r="B863" s="347" t="s">
        <v>314</v>
      </c>
      <c r="C863" s="347" t="s">
        <v>133</v>
      </c>
      <c r="D863" s="347" t="s">
        <v>953</v>
      </c>
      <c r="E863" s="347" t="s">
        <v>160</v>
      </c>
      <c r="F863" s="337">
        <f t="shared" ref="F863:G863" si="442">F864</f>
        <v>130.80000000000001</v>
      </c>
      <c r="G863" s="337">
        <f t="shared" si="442"/>
        <v>130.71198999999999</v>
      </c>
      <c r="H863" s="337">
        <f t="shared" si="427"/>
        <v>99.932714067278269</v>
      </c>
    </row>
    <row r="864" spans="1:12" ht="15.75" x14ac:dyDescent="0.25">
      <c r="A864" s="349" t="s">
        <v>583</v>
      </c>
      <c r="B864" s="347" t="s">
        <v>314</v>
      </c>
      <c r="C864" s="347" t="s">
        <v>133</v>
      </c>
      <c r="D864" s="347" t="s">
        <v>953</v>
      </c>
      <c r="E864" s="347" t="s">
        <v>153</v>
      </c>
      <c r="F864" s="337">
        <f>'Пр.4 ведом.20'!G371</f>
        <v>130.80000000000001</v>
      </c>
      <c r="G864" s="337">
        <f>'Пр.4 ведом.20'!H371</f>
        <v>130.71198999999999</v>
      </c>
      <c r="H864" s="337">
        <f t="shared" si="427"/>
        <v>99.932714067278269</v>
      </c>
    </row>
    <row r="865" spans="1:8" ht="31.5" x14ac:dyDescent="0.25">
      <c r="A865" s="222" t="s">
        <v>968</v>
      </c>
      <c r="B865" s="319" t="s">
        <v>314</v>
      </c>
      <c r="C865" s="319" t="s">
        <v>133</v>
      </c>
      <c r="D865" s="319" t="s">
        <v>956</v>
      </c>
      <c r="E865" s="319"/>
      <c r="F865" s="4">
        <f>F866+F871</f>
        <v>2011</v>
      </c>
      <c r="G865" s="4">
        <f t="shared" ref="G865" si="443">G866+G871</f>
        <v>2010.8979999999999</v>
      </c>
      <c r="H865" s="4">
        <f t="shared" si="427"/>
        <v>99.994927896568868</v>
      </c>
    </row>
    <row r="866" spans="1:8" ht="31.5" x14ac:dyDescent="0.25">
      <c r="A866" s="31" t="s">
        <v>858</v>
      </c>
      <c r="B866" s="347" t="s">
        <v>314</v>
      </c>
      <c r="C866" s="347" t="s">
        <v>133</v>
      </c>
      <c r="D866" s="347" t="s">
        <v>957</v>
      </c>
      <c r="E866" s="347"/>
      <c r="F866" s="337">
        <f>F867+F869</f>
        <v>1511</v>
      </c>
      <c r="G866" s="337">
        <f t="shared" ref="G866" si="444">G867+G869</f>
        <v>1510.8979999999999</v>
      </c>
      <c r="H866" s="337">
        <f t="shared" si="427"/>
        <v>99.993249503639973</v>
      </c>
    </row>
    <row r="867" spans="1:8" ht="78.75" x14ac:dyDescent="0.25">
      <c r="A867" s="349" t="s">
        <v>142</v>
      </c>
      <c r="B867" s="347" t="s">
        <v>314</v>
      </c>
      <c r="C867" s="347" t="s">
        <v>133</v>
      </c>
      <c r="D867" s="347" t="s">
        <v>957</v>
      </c>
      <c r="E867" s="347" t="s">
        <v>143</v>
      </c>
      <c r="F867" s="337">
        <f>F868</f>
        <v>135.39999999999998</v>
      </c>
      <c r="G867" s="337">
        <f t="shared" ref="G867" si="445">G868</f>
        <v>135.36799999999999</v>
      </c>
      <c r="H867" s="337">
        <f t="shared" si="427"/>
        <v>99.976366322008886</v>
      </c>
    </row>
    <row r="868" spans="1:8" ht="31.5" x14ac:dyDescent="0.25">
      <c r="A868" s="349" t="s">
        <v>223</v>
      </c>
      <c r="B868" s="347" t="s">
        <v>314</v>
      </c>
      <c r="C868" s="347" t="s">
        <v>133</v>
      </c>
      <c r="D868" s="347" t="s">
        <v>957</v>
      </c>
      <c r="E868" s="347" t="s">
        <v>224</v>
      </c>
      <c r="F868" s="337">
        <f>'Пр.4 ведом.20'!G375</f>
        <v>135.39999999999998</v>
      </c>
      <c r="G868" s="337">
        <f>'Пр.4 ведом.20'!H375</f>
        <v>135.36799999999999</v>
      </c>
      <c r="H868" s="337">
        <f t="shared" si="427"/>
        <v>99.976366322008886</v>
      </c>
    </row>
    <row r="869" spans="1:8" ht="31.5" x14ac:dyDescent="0.25">
      <c r="A869" s="349" t="s">
        <v>146</v>
      </c>
      <c r="B869" s="347" t="s">
        <v>314</v>
      </c>
      <c r="C869" s="347" t="s">
        <v>133</v>
      </c>
      <c r="D869" s="347" t="s">
        <v>957</v>
      </c>
      <c r="E869" s="347" t="s">
        <v>147</v>
      </c>
      <c r="F869" s="337">
        <f>F870</f>
        <v>1375.6</v>
      </c>
      <c r="G869" s="337">
        <f t="shared" ref="G869" si="446">G870</f>
        <v>1375.53</v>
      </c>
      <c r="H869" s="337">
        <f t="shared" si="427"/>
        <v>99.994911311427742</v>
      </c>
    </row>
    <row r="870" spans="1:8" ht="47.25" x14ac:dyDescent="0.25">
      <c r="A870" s="349" t="s">
        <v>148</v>
      </c>
      <c r="B870" s="347" t="s">
        <v>314</v>
      </c>
      <c r="C870" s="347" t="s">
        <v>133</v>
      </c>
      <c r="D870" s="347" t="s">
        <v>957</v>
      </c>
      <c r="E870" s="347" t="s">
        <v>149</v>
      </c>
      <c r="F870" s="337">
        <f>'Пр.4 ведом.20'!G377</f>
        <v>1375.6</v>
      </c>
      <c r="G870" s="337">
        <f>'Пр.4 ведом.20'!H377</f>
        <v>1375.53</v>
      </c>
      <c r="H870" s="337">
        <f t="shared" si="427"/>
        <v>99.994911311427742</v>
      </c>
    </row>
    <row r="871" spans="1:8" s="345" customFormat="1" ht="47.25" x14ac:dyDescent="0.25">
      <c r="A871" s="349" t="s">
        <v>1579</v>
      </c>
      <c r="B871" s="347" t="s">
        <v>314</v>
      </c>
      <c r="C871" s="347" t="s">
        <v>133</v>
      </c>
      <c r="D871" s="347" t="s">
        <v>1577</v>
      </c>
      <c r="E871" s="347"/>
      <c r="F871" s="337">
        <f>F872</f>
        <v>500</v>
      </c>
      <c r="G871" s="337">
        <f t="shared" ref="G871:G872" si="447">G872</f>
        <v>500</v>
      </c>
      <c r="H871" s="337">
        <f t="shared" si="427"/>
        <v>100</v>
      </c>
    </row>
    <row r="872" spans="1:8" s="345" customFormat="1" ht="31.5" x14ac:dyDescent="0.25">
      <c r="A872" s="349" t="s">
        <v>146</v>
      </c>
      <c r="B872" s="347" t="s">
        <v>314</v>
      </c>
      <c r="C872" s="347" t="s">
        <v>133</v>
      </c>
      <c r="D872" s="347" t="s">
        <v>1577</v>
      </c>
      <c r="E872" s="347" t="s">
        <v>147</v>
      </c>
      <c r="F872" s="337">
        <f>F873</f>
        <v>500</v>
      </c>
      <c r="G872" s="337">
        <f t="shared" si="447"/>
        <v>500</v>
      </c>
      <c r="H872" s="337">
        <f t="shared" si="427"/>
        <v>100</v>
      </c>
    </row>
    <row r="873" spans="1:8" s="345" customFormat="1" ht="47.25" x14ac:dyDescent="0.25">
      <c r="A873" s="349" t="s">
        <v>148</v>
      </c>
      <c r="B873" s="347" t="s">
        <v>314</v>
      </c>
      <c r="C873" s="347" t="s">
        <v>133</v>
      </c>
      <c r="D873" s="347" t="s">
        <v>1577</v>
      </c>
      <c r="E873" s="347" t="s">
        <v>1578</v>
      </c>
      <c r="F873" s="337">
        <f>'Пр.4 ведом.20'!G380</f>
        <v>500</v>
      </c>
      <c r="G873" s="337">
        <f>'Пр.4 ведом.20'!H380</f>
        <v>500</v>
      </c>
      <c r="H873" s="337">
        <f t="shared" si="427"/>
        <v>100</v>
      </c>
    </row>
    <row r="874" spans="1:8" ht="31.5" x14ac:dyDescent="0.25">
      <c r="A874" s="318" t="s">
        <v>1074</v>
      </c>
      <c r="B874" s="319" t="s">
        <v>314</v>
      </c>
      <c r="C874" s="319" t="s">
        <v>133</v>
      </c>
      <c r="D874" s="319" t="s">
        <v>1162</v>
      </c>
      <c r="E874" s="319"/>
      <c r="F874" s="4">
        <f>F875</f>
        <v>335.4</v>
      </c>
      <c r="G874" s="4">
        <f t="shared" ref="G874:G876" si="448">G875</f>
        <v>335.37941000000001</v>
      </c>
      <c r="H874" s="4">
        <f t="shared" si="427"/>
        <v>99.99386106141921</v>
      </c>
    </row>
    <row r="875" spans="1:8" ht="47.25" x14ac:dyDescent="0.25">
      <c r="A875" s="349" t="s">
        <v>883</v>
      </c>
      <c r="B875" s="347" t="s">
        <v>314</v>
      </c>
      <c r="C875" s="347" t="s">
        <v>133</v>
      </c>
      <c r="D875" s="347" t="s">
        <v>1163</v>
      </c>
      <c r="E875" s="347"/>
      <c r="F875" s="337">
        <f>F876</f>
        <v>335.4</v>
      </c>
      <c r="G875" s="337">
        <f t="shared" si="448"/>
        <v>335.37941000000001</v>
      </c>
      <c r="H875" s="337">
        <f t="shared" si="427"/>
        <v>99.99386106141921</v>
      </c>
    </row>
    <row r="876" spans="1:8" ht="78.75" x14ac:dyDescent="0.25">
      <c r="A876" s="349" t="s">
        <v>142</v>
      </c>
      <c r="B876" s="347" t="s">
        <v>314</v>
      </c>
      <c r="C876" s="347" t="s">
        <v>133</v>
      </c>
      <c r="D876" s="347" t="s">
        <v>1163</v>
      </c>
      <c r="E876" s="347" t="s">
        <v>143</v>
      </c>
      <c r="F876" s="337">
        <f>F877</f>
        <v>335.4</v>
      </c>
      <c r="G876" s="337">
        <f t="shared" si="448"/>
        <v>335.37941000000001</v>
      </c>
      <c r="H876" s="337">
        <f t="shared" si="427"/>
        <v>99.99386106141921</v>
      </c>
    </row>
    <row r="877" spans="1:8" ht="31.5" x14ac:dyDescent="0.25">
      <c r="A877" s="349" t="s">
        <v>144</v>
      </c>
      <c r="B877" s="347" t="s">
        <v>314</v>
      </c>
      <c r="C877" s="347" t="s">
        <v>133</v>
      </c>
      <c r="D877" s="347" t="s">
        <v>1163</v>
      </c>
      <c r="E877" s="347" t="s">
        <v>224</v>
      </c>
      <c r="F877" s="337">
        <f>'Пр.4 ведом.20'!G384</f>
        <v>335.4</v>
      </c>
      <c r="G877" s="337">
        <f>'Пр.4 ведом.20'!H384</f>
        <v>335.37941000000001</v>
      </c>
      <c r="H877" s="337">
        <f t="shared" si="427"/>
        <v>99.99386106141921</v>
      </c>
    </row>
    <row r="878" spans="1:8" ht="47.25" x14ac:dyDescent="0.25">
      <c r="A878" s="223" t="s">
        <v>969</v>
      </c>
      <c r="B878" s="319" t="s">
        <v>314</v>
      </c>
      <c r="C878" s="319" t="s">
        <v>133</v>
      </c>
      <c r="D878" s="319" t="s">
        <v>1164</v>
      </c>
      <c r="E878" s="319"/>
      <c r="F878" s="4">
        <f>F882+F879</f>
        <v>824.3</v>
      </c>
      <c r="G878" s="4">
        <f t="shared" ref="G878" si="449">G882+G879</f>
        <v>823.35298999999998</v>
      </c>
      <c r="H878" s="4">
        <f t="shared" si="427"/>
        <v>99.885113429576606</v>
      </c>
    </row>
    <row r="879" spans="1:8" s="309" customFormat="1" ht="94.5" x14ac:dyDescent="0.25">
      <c r="A879" s="31" t="s">
        <v>308</v>
      </c>
      <c r="B879" s="347" t="s">
        <v>314</v>
      </c>
      <c r="C879" s="347" t="s">
        <v>133</v>
      </c>
      <c r="D879" s="347" t="s">
        <v>1511</v>
      </c>
      <c r="E879" s="347"/>
      <c r="F879" s="337">
        <f>F880</f>
        <v>749.3</v>
      </c>
      <c r="G879" s="337">
        <f t="shared" ref="G879:G880" si="450">G880</f>
        <v>748.35298999999998</v>
      </c>
      <c r="H879" s="337">
        <f t="shared" si="427"/>
        <v>99.873614039770459</v>
      </c>
    </row>
    <row r="880" spans="1:8" s="309" customFormat="1" ht="78.75" x14ac:dyDescent="0.25">
      <c r="A880" s="349" t="s">
        <v>142</v>
      </c>
      <c r="B880" s="347" t="s">
        <v>314</v>
      </c>
      <c r="C880" s="347" t="s">
        <v>133</v>
      </c>
      <c r="D880" s="347" t="s">
        <v>1511</v>
      </c>
      <c r="E880" s="347" t="s">
        <v>143</v>
      </c>
      <c r="F880" s="337">
        <f>F881</f>
        <v>749.3</v>
      </c>
      <c r="G880" s="337">
        <f t="shared" si="450"/>
        <v>748.35298999999998</v>
      </c>
      <c r="H880" s="337">
        <f t="shared" si="427"/>
        <v>99.873614039770459</v>
      </c>
    </row>
    <row r="881" spans="1:8" s="309" customFormat="1" ht="22.7" customHeight="1" x14ac:dyDescent="0.25">
      <c r="A881" s="349" t="s">
        <v>223</v>
      </c>
      <c r="B881" s="347" t="s">
        <v>314</v>
      </c>
      <c r="C881" s="347" t="s">
        <v>133</v>
      </c>
      <c r="D881" s="347" t="s">
        <v>1511</v>
      </c>
      <c r="E881" s="347" t="s">
        <v>224</v>
      </c>
      <c r="F881" s="337">
        <f>'Пр.4 ведом.20'!G388</f>
        <v>749.3</v>
      </c>
      <c r="G881" s="337">
        <f>'Пр.4 ведом.20'!H388</f>
        <v>748.35298999999998</v>
      </c>
      <c r="H881" s="337">
        <f t="shared" si="427"/>
        <v>99.873614039770459</v>
      </c>
    </row>
    <row r="882" spans="1:8" s="1" customFormat="1" ht="94.5" x14ac:dyDescent="0.25">
      <c r="A882" s="31" t="s">
        <v>308</v>
      </c>
      <c r="B882" s="347" t="s">
        <v>314</v>
      </c>
      <c r="C882" s="347" t="s">
        <v>133</v>
      </c>
      <c r="D882" s="347" t="s">
        <v>1165</v>
      </c>
      <c r="E882" s="347"/>
      <c r="F882" s="337">
        <f>F883</f>
        <v>75</v>
      </c>
      <c r="G882" s="337">
        <f t="shared" ref="G882:G883" si="451">G883</f>
        <v>75</v>
      </c>
      <c r="H882" s="337">
        <f t="shared" si="427"/>
        <v>100</v>
      </c>
    </row>
    <row r="883" spans="1:8" ht="78.75" x14ac:dyDescent="0.25">
      <c r="A883" s="349" t="s">
        <v>142</v>
      </c>
      <c r="B883" s="347" t="s">
        <v>314</v>
      </c>
      <c r="C883" s="347" t="s">
        <v>133</v>
      </c>
      <c r="D883" s="347" t="s">
        <v>1165</v>
      </c>
      <c r="E883" s="347" t="s">
        <v>143</v>
      </c>
      <c r="F883" s="337">
        <f>F884</f>
        <v>75</v>
      </c>
      <c r="G883" s="337">
        <f t="shared" si="451"/>
        <v>75</v>
      </c>
      <c r="H883" s="337">
        <f t="shared" si="427"/>
        <v>100</v>
      </c>
    </row>
    <row r="884" spans="1:8" ht="31.5" x14ac:dyDescent="0.25">
      <c r="A884" s="349" t="s">
        <v>223</v>
      </c>
      <c r="B884" s="347" t="s">
        <v>314</v>
      </c>
      <c r="C884" s="347" t="s">
        <v>133</v>
      </c>
      <c r="D884" s="347" t="s">
        <v>1165</v>
      </c>
      <c r="E884" s="347" t="s">
        <v>224</v>
      </c>
      <c r="F884" s="337">
        <f>'Пр.4 ведом.20'!G391</f>
        <v>75</v>
      </c>
      <c r="G884" s="337">
        <f>'Пр.4 ведом.20'!H391</f>
        <v>75</v>
      </c>
      <c r="H884" s="337">
        <f t="shared" si="427"/>
        <v>100</v>
      </c>
    </row>
    <row r="885" spans="1:8" s="210" customFormat="1" ht="31.5" x14ac:dyDescent="0.25">
      <c r="A885" s="216" t="s">
        <v>1396</v>
      </c>
      <c r="B885" s="319" t="s">
        <v>314</v>
      </c>
      <c r="C885" s="319" t="s">
        <v>133</v>
      </c>
      <c r="D885" s="319" t="s">
        <v>1397</v>
      </c>
      <c r="E885" s="319"/>
      <c r="F885" s="317">
        <f>F886</f>
        <v>1330.923</v>
      </c>
      <c r="G885" s="317">
        <f t="shared" ref="G885:G887" si="452">G886</f>
        <v>1330.90699</v>
      </c>
      <c r="H885" s="4">
        <f t="shared" si="427"/>
        <v>99.998797075413066</v>
      </c>
    </row>
    <row r="886" spans="1:8" s="210" customFormat="1" ht="47.25" x14ac:dyDescent="0.25">
      <c r="A886" s="99" t="s">
        <v>1398</v>
      </c>
      <c r="B886" s="347" t="s">
        <v>314</v>
      </c>
      <c r="C886" s="347" t="s">
        <v>133</v>
      </c>
      <c r="D886" s="347" t="s">
        <v>1399</v>
      </c>
      <c r="E886" s="347"/>
      <c r="F886" s="321">
        <f>F887</f>
        <v>1330.923</v>
      </c>
      <c r="G886" s="321">
        <f t="shared" si="452"/>
        <v>1330.90699</v>
      </c>
      <c r="H886" s="337">
        <f t="shared" si="427"/>
        <v>99.998797075413066</v>
      </c>
    </row>
    <row r="887" spans="1:8" s="210" customFormat="1" ht="31.5" x14ac:dyDescent="0.25">
      <c r="A887" s="349" t="s">
        <v>146</v>
      </c>
      <c r="B887" s="347" t="s">
        <v>314</v>
      </c>
      <c r="C887" s="347" t="s">
        <v>133</v>
      </c>
      <c r="D887" s="347" t="s">
        <v>1399</v>
      </c>
      <c r="E887" s="347" t="s">
        <v>147</v>
      </c>
      <c r="F887" s="321">
        <f>F888</f>
        <v>1330.923</v>
      </c>
      <c r="G887" s="321">
        <f t="shared" si="452"/>
        <v>1330.90699</v>
      </c>
      <c r="H887" s="337">
        <f t="shared" si="427"/>
        <v>99.998797075413066</v>
      </c>
    </row>
    <row r="888" spans="1:8" s="210" customFormat="1" ht="47.25" x14ac:dyDescent="0.25">
      <c r="A888" s="349" t="s">
        <v>148</v>
      </c>
      <c r="B888" s="347" t="s">
        <v>314</v>
      </c>
      <c r="C888" s="347" t="s">
        <v>133</v>
      </c>
      <c r="D888" s="347" t="s">
        <v>1399</v>
      </c>
      <c r="E888" s="347" t="s">
        <v>149</v>
      </c>
      <c r="F888" s="321">
        <f>'Пр.4 ведом.20'!G395</f>
        <v>1330.923</v>
      </c>
      <c r="G888" s="321">
        <f>'Пр.4 ведом.20'!H395</f>
        <v>1330.90699</v>
      </c>
      <c r="H888" s="337">
        <f t="shared" si="427"/>
        <v>99.998797075413066</v>
      </c>
    </row>
    <row r="889" spans="1:8" ht="47.25" x14ac:dyDescent="0.25">
      <c r="A889" s="318" t="s">
        <v>327</v>
      </c>
      <c r="B889" s="319" t="s">
        <v>314</v>
      </c>
      <c r="C889" s="319" t="s">
        <v>133</v>
      </c>
      <c r="D889" s="319" t="s">
        <v>328</v>
      </c>
      <c r="E889" s="319"/>
      <c r="F889" s="4">
        <f>F890+F898+F902+F906+F913</f>
        <v>23544.700000000004</v>
      </c>
      <c r="G889" s="4">
        <f t="shared" ref="G889" si="453">G890+G898+G902+G906+G913</f>
        <v>23354.128089999998</v>
      </c>
      <c r="H889" s="4">
        <f t="shared" si="427"/>
        <v>99.190595293208219</v>
      </c>
    </row>
    <row r="890" spans="1:8" ht="34.5" customHeight="1" x14ac:dyDescent="0.25">
      <c r="A890" s="318" t="s">
        <v>954</v>
      </c>
      <c r="B890" s="319" t="s">
        <v>314</v>
      </c>
      <c r="C890" s="319" t="s">
        <v>133</v>
      </c>
      <c r="D890" s="319" t="s">
        <v>958</v>
      </c>
      <c r="E890" s="319"/>
      <c r="F890" s="4">
        <f>F891</f>
        <v>21497.100000000002</v>
      </c>
      <c r="G890" s="4">
        <f t="shared" ref="G890" si="454">G891</f>
        <v>21443.259329999997</v>
      </c>
      <c r="H890" s="4">
        <f t="shared" si="427"/>
        <v>99.749544496699528</v>
      </c>
    </row>
    <row r="891" spans="1:8" ht="15.75" x14ac:dyDescent="0.25">
      <c r="A891" s="349" t="s">
        <v>830</v>
      </c>
      <c r="B891" s="347" t="s">
        <v>314</v>
      </c>
      <c r="C891" s="347" t="s">
        <v>133</v>
      </c>
      <c r="D891" s="347" t="s">
        <v>959</v>
      </c>
      <c r="E891" s="347"/>
      <c r="F891" s="337">
        <f>F892+F894+F896</f>
        <v>21497.100000000002</v>
      </c>
      <c r="G891" s="337">
        <f t="shared" ref="G891" si="455">G892+G894+G896</f>
        <v>21443.259329999997</v>
      </c>
      <c r="H891" s="337">
        <f t="shared" si="427"/>
        <v>99.749544496699528</v>
      </c>
    </row>
    <row r="892" spans="1:8" ht="78.75" x14ac:dyDescent="0.25">
      <c r="A892" s="349" t="s">
        <v>142</v>
      </c>
      <c r="B892" s="347" t="s">
        <v>314</v>
      </c>
      <c r="C892" s="347" t="s">
        <v>133</v>
      </c>
      <c r="D892" s="347" t="s">
        <v>959</v>
      </c>
      <c r="E892" s="347" t="s">
        <v>143</v>
      </c>
      <c r="F892" s="337">
        <f>'Пр.4 ведом.20'!G400</f>
        <v>17819.2</v>
      </c>
      <c r="G892" s="337">
        <f>'Пр.4 ведом.20'!H400</f>
        <v>17806.526969999999</v>
      </c>
      <c r="H892" s="337">
        <f t="shared" si="427"/>
        <v>99.928879916045602</v>
      </c>
    </row>
    <row r="893" spans="1:8" ht="31.5" x14ac:dyDescent="0.25">
      <c r="A893" s="349" t="s">
        <v>223</v>
      </c>
      <c r="B893" s="347" t="s">
        <v>314</v>
      </c>
      <c r="C893" s="347" t="s">
        <v>133</v>
      </c>
      <c r="D893" s="347" t="s">
        <v>959</v>
      </c>
      <c r="E893" s="347" t="s">
        <v>224</v>
      </c>
      <c r="F893" s="337">
        <f>'Пр.4 ведом.20'!G400</f>
        <v>17819.2</v>
      </c>
      <c r="G893" s="337">
        <f>'Пр.4 ведом.20'!H400</f>
        <v>17806.526969999999</v>
      </c>
      <c r="H893" s="337">
        <f t="shared" si="427"/>
        <v>99.928879916045602</v>
      </c>
    </row>
    <row r="894" spans="1:8" ht="31.5" x14ac:dyDescent="0.25">
      <c r="A894" s="349" t="s">
        <v>146</v>
      </c>
      <c r="B894" s="347" t="s">
        <v>314</v>
      </c>
      <c r="C894" s="347" t="s">
        <v>133</v>
      </c>
      <c r="D894" s="347" t="s">
        <v>959</v>
      </c>
      <c r="E894" s="347" t="s">
        <v>147</v>
      </c>
      <c r="F894" s="337">
        <f>'Пр.4 ведом.20'!G402</f>
        <v>3641.4</v>
      </c>
      <c r="G894" s="337">
        <f>'Пр.4 ведом.20'!H402</f>
        <v>3600.5082400000001</v>
      </c>
      <c r="H894" s="337">
        <f t="shared" si="427"/>
        <v>98.877031910803538</v>
      </c>
    </row>
    <row r="895" spans="1:8" ht="47.25" x14ac:dyDescent="0.25">
      <c r="A895" s="349" t="s">
        <v>148</v>
      </c>
      <c r="B895" s="347" t="s">
        <v>314</v>
      </c>
      <c r="C895" s="347" t="s">
        <v>133</v>
      </c>
      <c r="D895" s="347" t="s">
        <v>959</v>
      </c>
      <c r="E895" s="347" t="s">
        <v>149</v>
      </c>
      <c r="F895" s="337">
        <f>'Пр.4 ведом.20'!G402</f>
        <v>3641.4</v>
      </c>
      <c r="G895" s="337">
        <f>'Пр.4 ведом.20'!H402</f>
        <v>3600.5082400000001</v>
      </c>
      <c r="H895" s="337">
        <f t="shared" si="427"/>
        <v>98.877031910803538</v>
      </c>
    </row>
    <row r="896" spans="1:8" ht="15.75" x14ac:dyDescent="0.25">
      <c r="A896" s="349" t="s">
        <v>150</v>
      </c>
      <c r="B896" s="347" t="s">
        <v>314</v>
      </c>
      <c r="C896" s="347" t="s">
        <v>133</v>
      </c>
      <c r="D896" s="347" t="s">
        <v>959</v>
      </c>
      <c r="E896" s="347" t="s">
        <v>160</v>
      </c>
      <c r="F896" s="337">
        <f>'Пр.4 ведом.20'!G404</f>
        <v>36.5</v>
      </c>
      <c r="G896" s="337">
        <f>'Пр.4 ведом.20'!H404</f>
        <v>36.224119999999999</v>
      </c>
      <c r="H896" s="337">
        <f t="shared" si="427"/>
        <v>99.244164383561639</v>
      </c>
    </row>
    <row r="897" spans="1:8" ht="15.75" x14ac:dyDescent="0.25">
      <c r="A897" s="349" t="s">
        <v>583</v>
      </c>
      <c r="B897" s="347" t="s">
        <v>314</v>
      </c>
      <c r="C897" s="347" t="s">
        <v>133</v>
      </c>
      <c r="D897" s="347" t="s">
        <v>959</v>
      </c>
      <c r="E897" s="347" t="s">
        <v>153</v>
      </c>
      <c r="F897" s="337">
        <f>'Пр.4 ведом.20'!G404</f>
        <v>36.5</v>
      </c>
      <c r="G897" s="337">
        <f>'Пр.4 ведом.20'!H404</f>
        <v>36.224119999999999</v>
      </c>
      <c r="H897" s="337">
        <f t="shared" si="427"/>
        <v>99.244164383561639</v>
      </c>
    </row>
    <row r="898" spans="1:8" ht="31.5" x14ac:dyDescent="0.25">
      <c r="A898" s="318" t="s">
        <v>971</v>
      </c>
      <c r="B898" s="319" t="s">
        <v>314</v>
      </c>
      <c r="C898" s="319" t="s">
        <v>133</v>
      </c>
      <c r="D898" s="319" t="s">
        <v>960</v>
      </c>
      <c r="E898" s="319"/>
      <c r="F898" s="4">
        <f>F899</f>
        <v>50</v>
      </c>
      <c r="G898" s="4">
        <f t="shared" ref="G898:G900" si="456">G899</f>
        <v>50</v>
      </c>
      <c r="H898" s="4">
        <f t="shared" si="427"/>
        <v>100</v>
      </c>
    </row>
    <row r="899" spans="1:8" ht="31.5" x14ac:dyDescent="0.25">
      <c r="A899" s="349" t="s">
        <v>864</v>
      </c>
      <c r="B899" s="347" t="s">
        <v>314</v>
      </c>
      <c r="C899" s="347" t="s">
        <v>133</v>
      </c>
      <c r="D899" s="347" t="s">
        <v>961</v>
      </c>
      <c r="E899" s="347"/>
      <c r="F899" s="337">
        <f>F900</f>
        <v>50</v>
      </c>
      <c r="G899" s="337">
        <f t="shared" si="456"/>
        <v>50</v>
      </c>
      <c r="H899" s="337">
        <f t="shared" si="427"/>
        <v>100</v>
      </c>
    </row>
    <row r="900" spans="1:8" ht="31.5" x14ac:dyDescent="0.25">
      <c r="A900" s="349" t="s">
        <v>146</v>
      </c>
      <c r="B900" s="347" t="s">
        <v>314</v>
      </c>
      <c r="C900" s="347" t="s">
        <v>133</v>
      </c>
      <c r="D900" s="347" t="s">
        <v>961</v>
      </c>
      <c r="E900" s="347" t="s">
        <v>147</v>
      </c>
      <c r="F900" s="337">
        <f>F901</f>
        <v>50</v>
      </c>
      <c r="G900" s="337">
        <f t="shared" si="456"/>
        <v>50</v>
      </c>
      <c r="H900" s="337">
        <f t="shared" si="427"/>
        <v>100</v>
      </c>
    </row>
    <row r="901" spans="1:8" ht="47.25" x14ac:dyDescent="0.25">
      <c r="A901" s="349" t="s">
        <v>148</v>
      </c>
      <c r="B901" s="347" t="s">
        <v>314</v>
      </c>
      <c r="C901" s="347" t="s">
        <v>133</v>
      </c>
      <c r="D901" s="347" t="s">
        <v>961</v>
      </c>
      <c r="E901" s="347" t="s">
        <v>149</v>
      </c>
      <c r="F901" s="337">
        <f>'Пр.4 ведом.20'!G408</f>
        <v>50</v>
      </c>
      <c r="G901" s="337">
        <f>'Пр.4 ведом.20'!H408</f>
        <v>50</v>
      </c>
      <c r="H901" s="337">
        <f t="shared" si="427"/>
        <v>100</v>
      </c>
    </row>
    <row r="902" spans="1:8" ht="31.5" x14ac:dyDescent="0.25">
      <c r="A902" s="318" t="s">
        <v>1074</v>
      </c>
      <c r="B902" s="319" t="s">
        <v>314</v>
      </c>
      <c r="C902" s="319" t="s">
        <v>133</v>
      </c>
      <c r="D902" s="319" t="s">
        <v>962</v>
      </c>
      <c r="E902" s="319"/>
      <c r="F902" s="4">
        <f>F903</f>
        <v>332.9</v>
      </c>
      <c r="G902" s="4">
        <f t="shared" ref="G902:G903" si="457">G903</f>
        <v>318.35480000000001</v>
      </c>
      <c r="H902" s="4">
        <f t="shared" si="427"/>
        <v>95.630759987984391</v>
      </c>
    </row>
    <row r="903" spans="1:8" ht="31.7" customHeight="1" x14ac:dyDescent="0.25">
      <c r="A903" s="349" t="s">
        <v>883</v>
      </c>
      <c r="B903" s="347" t="s">
        <v>314</v>
      </c>
      <c r="C903" s="347" t="s">
        <v>133</v>
      </c>
      <c r="D903" s="347" t="s">
        <v>1250</v>
      </c>
      <c r="E903" s="347"/>
      <c r="F903" s="337">
        <f>F904</f>
        <v>332.9</v>
      </c>
      <c r="G903" s="337">
        <f t="shared" si="457"/>
        <v>318.35480000000001</v>
      </c>
      <c r="H903" s="337">
        <f t="shared" si="427"/>
        <v>95.630759987984391</v>
      </c>
    </row>
    <row r="904" spans="1:8" ht="31.7" customHeight="1" x14ac:dyDescent="0.25">
      <c r="A904" s="349" t="s">
        <v>142</v>
      </c>
      <c r="B904" s="347" t="s">
        <v>314</v>
      </c>
      <c r="C904" s="347" t="s">
        <v>133</v>
      </c>
      <c r="D904" s="347" t="s">
        <v>1250</v>
      </c>
      <c r="E904" s="347" t="s">
        <v>143</v>
      </c>
      <c r="F904" s="337">
        <f t="shared" ref="F904:G904" si="458">F905</f>
        <v>332.9</v>
      </c>
      <c r="G904" s="337">
        <f t="shared" si="458"/>
        <v>318.35480000000001</v>
      </c>
      <c r="H904" s="337">
        <f t="shared" si="427"/>
        <v>95.630759987984391</v>
      </c>
    </row>
    <row r="905" spans="1:8" ht="38.25" customHeight="1" x14ac:dyDescent="0.25">
      <c r="A905" s="349" t="s">
        <v>144</v>
      </c>
      <c r="B905" s="347" t="s">
        <v>314</v>
      </c>
      <c r="C905" s="347" t="s">
        <v>133</v>
      </c>
      <c r="D905" s="347" t="s">
        <v>1250</v>
      </c>
      <c r="E905" s="347" t="s">
        <v>224</v>
      </c>
      <c r="F905" s="337">
        <f>'Пр.4 ведом.20'!G412</f>
        <v>332.9</v>
      </c>
      <c r="G905" s="337">
        <f>'Пр.4 ведом.20'!H412</f>
        <v>318.35480000000001</v>
      </c>
      <c r="H905" s="337">
        <f t="shared" ref="H905:H968" si="459">G905/F905*100</f>
        <v>95.630759987984391</v>
      </c>
    </row>
    <row r="906" spans="1:8" ht="32.25" customHeight="1" x14ac:dyDescent="0.25">
      <c r="A906" s="318" t="s">
        <v>1161</v>
      </c>
      <c r="B906" s="319" t="s">
        <v>314</v>
      </c>
      <c r="C906" s="319" t="s">
        <v>133</v>
      </c>
      <c r="D906" s="319" t="s">
        <v>963</v>
      </c>
      <c r="E906" s="319"/>
      <c r="F906" s="4">
        <f>F907+F910</f>
        <v>68.7</v>
      </c>
      <c r="G906" s="4">
        <f t="shared" ref="G906" si="460">G907+G910</f>
        <v>68.7</v>
      </c>
      <c r="H906" s="4">
        <f t="shared" si="459"/>
        <v>100</v>
      </c>
    </row>
    <row r="907" spans="1:8" ht="15.75" customHeight="1" x14ac:dyDescent="0.25">
      <c r="A907" s="349" t="s">
        <v>344</v>
      </c>
      <c r="B907" s="347" t="s">
        <v>314</v>
      </c>
      <c r="C907" s="347" t="s">
        <v>133</v>
      </c>
      <c r="D907" s="347" t="s">
        <v>1251</v>
      </c>
      <c r="E907" s="347"/>
      <c r="F907" s="337">
        <f>F908</f>
        <v>3.5</v>
      </c>
      <c r="G907" s="337">
        <f t="shared" ref="G907:G908" si="461">G908</f>
        <v>3.5</v>
      </c>
      <c r="H907" s="337">
        <f t="shared" si="459"/>
        <v>100</v>
      </c>
    </row>
    <row r="908" spans="1:8" ht="31.5" x14ac:dyDescent="0.25">
      <c r="A908" s="349" t="s">
        <v>146</v>
      </c>
      <c r="B908" s="347" t="s">
        <v>314</v>
      </c>
      <c r="C908" s="347" t="s">
        <v>133</v>
      </c>
      <c r="D908" s="347" t="s">
        <v>1251</v>
      </c>
      <c r="E908" s="347" t="s">
        <v>147</v>
      </c>
      <c r="F908" s="337">
        <f>F909</f>
        <v>3.5</v>
      </c>
      <c r="G908" s="337">
        <f t="shared" si="461"/>
        <v>3.5</v>
      </c>
      <c r="H908" s="337">
        <f t="shared" si="459"/>
        <v>100</v>
      </c>
    </row>
    <row r="909" spans="1:8" ht="31.7" customHeight="1" x14ac:dyDescent="0.25">
      <c r="A909" s="349" t="s">
        <v>148</v>
      </c>
      <c r="B909" s="347" t="s">
        <v>314</v>
      </c>
      <c r="C909" s="347" t="s">
        <v>133</v>
      </c>
      <c r="D909" s="347" t="s">
        <v>1251</v>
      </c>
      <c r="E909" s="347" t="s">
        <v>149</v>
      </c>
      <c r="F909" s="337">
        <f>'Пр.4 ведом.20'!G416</f>
        <v>3.5</v>
      </c>
      <c r="G909" s="337">
        <f>'Пр.4 ведом.20'!H416</f>
        <v>3.5</v>
      </c>
      <c r="H909" s="337">
        <f t="shared" si="459"/>
        <v>100</v>
      </c>
    </row>
    <row r="910" spans="1:8" ht="18.75" customHeight="1" x14ac:dyDescent="0.25">
      <c r="A910" s="349" t="s">
        <v>344</v>
      </c>
      <c r="B910" s="347" t="s">
        <v>314</v>
      </c>
      <c r="C910" s="347" t="s">
        <v>133</v>
      </c>
      <c r="D910" s="347" t="s">
        <v>1252</v>
      </c>
      <c r="E910" s="347"/>
      <c r="F910" s="337">
        <f>F911</f>
        <v>65.2</v>
      </c>
      <c r="G910" s="337">
        <f t="shared" ref="G910" si="462">G911</f>
        <v>65.2</v>
      </c>
      <c r="H910" s="337">
        <f t="shared" si="459"/>
        <v>100</v>
      </c>
    </row>
    <row r="911" spans="1:8" ht="31.5" x14ac:dyDescent="0.25">
      <c r="A911" s="349" t="s">
        <v>146</v>
      </c>
      <c r="B911" s="347" t="s">
        <v>314</v>
      </c>
      <c r="C911" s="347" t="s">
        <v>133</v>
      </c>
      <c r="D911" s="347" t="s">
        <v>1252</v>
      </c>
      <c r="E911" s="347" t="s">
        <v>147</v>
      </c>
      <c r="F911" s="337">
        <f t="shared" ref="F911:G911" si="463">F912</f>
        <v>65.2</v>
      </c>
      <c r="G911" s="337">
        <f t="shared" si="463"/>
        <v>65.2</v>
      </c>
      <c r="H911" s="337">
        <f t="shared" si="459"/>
        <v>100</v>
      </c>
    </row>
    <row r="912" spans="1:8" ht="47.25" x14ac:dyDescent="0.25">
      <c r="A912" s="349" t="s">
        <v>148</v>
      </c>
      <c r="B912" s="347" t="s">
        <v>314</v>
      </c>
      <c r="C912" s="347" t="s">
        <v>133</v>
      </c>
      <c r="D912" s="347" t="s">
        <v>1252</v>
      </c>
      <c r="E912" s="38">
        <v>240</v>
      </c>
      <c r="F912" s="337">
        <f>'Пр.4 ведом.20'!G419</f>
        <v>65.2</v>
      </c>
      <c r="G912" s="337">
        <f>'Пр.4 ведом.20'!H419</f>
        <v>65.2</v>
      </c>
      <c r="H912" s="337">
        <f t="shared" si="459"/>
        <v>100</v>
      </c>
    </row>
    <row r="913" spans="1:8" ht="47.25" x14ac:dyDescent="0.25">
      <c r="A913" s="223" t="s">
        <v>969</v>
      </c>
      <c r="B913" s="319" t="s">
        <v>314</v>
      </c>
      <c r="C913" s="319" t="s">
        <v>133</v>
      </c>
      <c r="D913" s="319" t="s">
        <v>1253</v>
      </c>
      <c r="E913" s="319"/>
      <c r="F913" s="295">
        <f>F917+F920+F914</f>
        <v>1596</v>
      </c>
      <c r="G913" s="295">
        <f t="shared" ref="G913" si="464">G917+G920+G914</f>
        <v>1473.81396</v>
      </c>
      <c r="H913" s="4">
        <f t="shared" si="459"/>
        <v>92.344233082706765</v>
      </c>
    </row>
    <row r="914" spans="1:8" s="309" customFormat="1" ht="94.5" x14ac:dyDescent="0.25">
      <c r="A914" s="31" t="s">
        <v>308</v>
      </c>
      <c r="B914" s="347" t="s">
        <v>314</v>
      </c>
      <c r="C914" s="347" t="s">
        <v>133</v>
      </c>
      <c r="D914" s="347" t="s">
        <v>1512</v>
      </c>
      <c r="E914" s="347"/>
      <c r="F914" s="293">
        <f>F915</f>
        <v>1159.3</v>
      </c>
      <c r="G914" s="293">
        <f t="shared" ref="G914:G915" si="465">G915</f>
        <v>1043.8611000000001</v>
      </c>
      <c r="H914" s="337">
        <f t="shared" si="459"/>
        <v>90.042361770033651</v>
      </c>
    </row>
    <row r="915" spans="1:8" s="309" customFormat="1" ht="78.75" x14ac:dyDescent="0.25">
      <c r="A915" s="349" t="s">
        <v>142</v>
      </c>
      <c r="B915" s="347" t="s">
        <v>314</v>
      </c>
      <c r="C915" s="347" t="s">
        <v>133</v>
      </c>
      <c r="D915" s="347" t="s">
        <v>1512</v>
      </c>
      <c r="E915" s="347" t="s">
        <v>143</v>
      </c>
      <c r="F915" s="293">
        <f>F916</f>
        <v>1159.3</v>
      </c>
      <c r="G915" s="293">
        <f t="shared" si="465"/>
        <v>1043.8611000000001</v>
      </c>
      <c r="H915" s="337">
        <f t="shared" si="459"/>
        <v>90.042361770033651</v>
      </c>
    </row>
    <row r="916" spans="1:8" s="309" customFormat="1" ht="31.5" x14ac:dyDescent="0.25">
      <c r="A916" s="349" t="s">
        <v>223</v>
      </c>
      <c r="B916" s="347" t="s">
        <v>314</v>
      </c>
      <c r="C916" s="347" t="s">
        <v>133</v>
      </c>
      <c r="D916" s="347" t="s">
        <v>1512</v>
      </c>
      <c r="E916" s="347" t="s">
        <v>224</v>
      </c>
      <c r="F916" s="293">
        <f>'Пр.4 ведом.20'!G423</f>
        <v>1159.3</v>
      </c>
      <c r="G916" s="293">
        <f>'Пр.4 ведом.20'!H423</f>
        <v>1043.8611000000001</v>
      </c>
      <c r="H916" s="337">
        <f t="shared" si="459"/>
        <v>90.042361770033651</v>
      </c>
    </row>
    <row r="917" spans="1:8" ht="86.25" customHeight="1" x14ac:dyDescent="0.25">
      <c r="A917" s="349" t="s">
        <v>346</v>
      </c>
      <c r="B917" s="347" t="s">
        <v>314</v>
      </c>
      <c r="C917" s="347" t="s">
        <v>133</v>
      </c>
      <c r="D917" s="347" t="s">
        <v>1254</v>
      </c>
      <c r="E917" s="347"/>
      <c r="F917" s="293">
        <f t="shared" ref="F917:G918" si="466">F918</f>
        <v>319.7</v>
      </c>
      <c r="G917" s="293">
        <f t="shared" si="466"/>
        <v>312.95285999999999</v>
      </c>
      <c r="H917" s="337">
        <f t="shared" si="459"/>
        <v>97.889540193931808</v>
      </c>
    </row>
    <row r="918" spans="1:8" ht="92.25" customHeight="1" x14ac:dyDescent="0.25">
      <c r="A918" s="349" t="s">
        <v>142</v>
      </c>
      <c r="B918" s="347" t="s">
        <v>314</v>
      </c>
      <c r="C918" s="347" t="s">
        <v>133</v>
      </c>
      <c r="D918" s="347" t="s">
        <v>1254</v>
      </c>
      <c r="E918" s="347" t="s">
        <v>143</v>
      </c>
      <c r="F918" s="293">
        <f>F919</f>
        <v>319.7</v>
      </c>
      <c r="G918" s="293">
        <f t="shared" si="466"/>
        <v>312.95285999999999</v>
      </c>
      <c r="H918" s="337">
        <f t="shared" si="459"/>
        <v>97.889540193931808</v>
      </c>
    </row>
    <row r="919" spans="1:8" ht="39.75" customHeight="1" x14ac:dyDescent="0.25">
      <c r="A919" s="349" t="s">
        <v>223</v>
      </c>
      <c r="B919" s="347" t="s">
        <v>314</v>
      </c>
      <c r="C919" s="347" t="s">
        <v>133</v>
      </c>
      <c r="D919" s="347" t="s">
        <v>1254</v>
      </c>
      <c r="E919" s="347" t="s">
        <v>224</v>
      </c>
      <c r="F919" s="337">
        <f>'Пр.4 ведом.20'!G426</f>
        <v>319.7</v>
      </c>
      <c r="G919" s="337">
        <f>'Пр.4 ведом.20'!H426</f>
        <v>312.95285999999999</v>
      </c>
      <c r="H919" s="337">
        <f t="shared" si="459"/>
        <v>97.889540193931808</v>
      </c>
    </row>
    <row r="920" spans="1:8" ht="94.5" x14ac:dyDescent="0.25">
      <c r="A920" s="31" t="s">
        <v>308</v>
      </c>
      <c r="B920" s="347" t="s">
        <v>314</v>
      </c>
      <c r="C920" s="347" t="s">
        <v>133</v>
      </c>
      <c r="D920" s="347" t="s">
        <v>1255</v>
      </c>
      <c r="E920" s="347"/>
      <c r="F920" s="337">
        <f>F921</f>
        <v>117</v>
      </c>
      <c r="G920" s="337">
        <f t="shared" ref="G920" si="467">G921</f>
        <v>117</v>
      </c>
      <c r="H920" s="337">
        <f t="shared" si="459"/>
        <v>100</v>
      </c>
    </row>
    <row r="921" spans="1:8" ht="78.75" x14ac:dyDescent="0.25">
      <c r="A921" s="349" t="s">
        <v>142</v>
      </c>
      <c r="B921" s="347" t="s">
        <v>314</v>
      </c>
      <c r="C921" s="347" t="s">
        <v>133</v>
      </c>
      <c r="D921" s="347" t="s">
        <v>1255</v>
      </c>
      <c r="E921" s="347" t="s">
        <v>143</v>
      </c>
      <c r="F921" s="293">
        <f t="shared" ref="F921:G921" si="468">F922</f>
        <v>117</v>
      </c>
      <c r="G921" s="293">
        <f t="shared" si="468"/>
        <v>117</v>
      </c>
      <c r="H921" s="337">
        <f t="shared" si="459"/>
        <v>100</v>
      </c>
    </row>
    <row r="922" spans="1:8" ht="31.5" x14ac:dyDescent="0.25">
      <c r="A922" s="349" t="s">
        <v>223</v>
      </c>
      <c r="B922" s="347" t="s">
        <v>314</v>
      </c>
      <c r="C922" s="347" t="s">
        <v>133</v>
      </c>
      <c r="D922" s="347" t="s">
        <v>1255</v>
      </c>
      <c r="E922" s="347" t="s">
        <v>224</v>
      </c>
      <c r="F922" s="293">
        <f>'Пр.4 ведом.20'!G429</f>
        <v>117</v>
      </c>
      <c r="G922" s="293">
        <f>'Пр.4 ведом.20'!H429</f>
        <v>117</v>
      </c>
      <c r="H922" s="337">
        <f t="shared" si="459"/>
        <v>100</v>
      </c>
    </row>
    <row r="923" spans="1:8" ht="63" x14ac:dyDescent="0.25">
      <c r="A923" s="34" t="s">
        <v>803</v>
      </c>
      <c r="B923" s="319" t="s">
        <v>314</v>
      </c>
      <c r="C923" s="319" t="s">
        <v>133</v>
      </c>
      <c r="D923" s="319" t="s">
        <v>339</v>
      </c>
      <c r="E923" s="319"/>
      <c r="F923" s="295">
        <f>F924</f>
        <v>100</v>
      </c>
      <c r="G923" s="295">
        <f t="shared" ref="G923:G926" si="469">G924</f>
        <v>100</v>
      </c>
      <c r="H923" s="337">
        <f t="shared" si="459"/>
        <v>100</v>
      </c>
    </row>
    <row r="924" spans="1:8" ht="63" x14ac:dyDescent="0.25">
      <c r="A924" s="34" t="s">
        <v>1189</v>
      </c>
      <c r="B924" s="319" t="s">
        <v>314</v>
      </c>
      <c r="C924" s="319" t="s">
        <v>133</v>
      </c>
      <c r="D924" s="319" t="s">
        <v>1023</v>
      </c>
      <c r="E924" s="319"/>
      <c r="F924" s="4">
        <f>F925</f>
        <v>100</v>
      </c>
      <c r="G924" s="4">
        <f t="shared" si="469"/>
        <v>100</v>
      </c>
      <c r="H924" s="337">
        <f t="shared" si="459"/>
        <v>100</v>
      </c>
    </row>
    <row r="925" spans="1:8" ht="47.25" x14ac:dyDescent="0.25">
      <c r="A925" s="31" t="s">
        <v>1270</v>
      </c>
      <c r="B925" s="347" t="s">
        <v>314</v>
      </c>
      <c r="C925" s="347" t="s">
        <v>133</v>
      </c>
      <c r="D925" s="347" t="s">
        <v>1190</v>
      </c>
      <c r="E925" s="347"/>
      <c r="F925" s="337">
        <f>F926</f>
        <v>100</v>
      </c>
      <c r="G925" s="337">
        <f t="shared" si="469"/>
        <v>100</v>
      </c>
      <c r="H925" s="337">
        <f t="shared" si="459"/>
        <v>100</v>
      </c>
    </row>
    <row r="926" spans="1:8" ht="31.5" x14ac:dyDescent="0.25">
      <c r="A926" s="349" t="s">
        <v>146</v>
      </c>
      <c r="B926" s="347" t="s">
        <v>314</v>
      </c>
      <c r="C926" s="347" t="s">
        <v>133</v>
      </c>
      <c r="D926" s="347" t="s">
        <v>1190</v>
      </c>
      <c r="E926" s="347" t="s">
        <v>147</v>
      </c>
      <c r="F926" s="337">
        <f>F927</f>
        <v>100</v>
      </c>
      <c r="G926" s="337">
        <f t="shared" si="469"/>
        <v>100</v>
      </c>
      <c r="H926" s="337">
        <f t="shared" si="459"/>
        <v>100</v>
      </c>
    </row>
    <row r="927" spans="1:8" ht="47.25" x14ac:dyDescent="0.25">
      <c r="A927" s="349" t="s">
        <v>148</v>
      </c>
      <c r="B927" s="347" t="s">
        <v>314</v>
      </c>
      <c r="C927" s="347" t="s">
        <v>133</v>
      </c>
      <c r="D927" s="347" t="s">
        <v>1190</v>
      </c>
      <c r="E927" s="347" t="s">
        <v>149</v>
      </c>
      <c r="F927" s="337">
        <f>'Пр.4 ведом.20'!G434</f>
        <v>100</v>
      </c>
      <c r="G927" s="337">
        <f>'Пр.4 ведом.20'!H434</f>
        <v>100</v>
      </c>
      <c r="H927" s="337">
        <f t="shared" si="459"/>
        <v>100</v>
      </c>
    </row>
    <row r="928" spans="1:8" ht="63" x14ac:dyDescent="0.25">
      <c r="A928" s="41" t="s">
        <v>1177</v>
      </c>
      <c r="B928" s="319" t="s">
        <v>314</v>
      </c>
      <c r="C928" s="319" t="s">
        <v>133</v>
      </c>
      <c r="D928" s="319" t="s">
        <v>726</v>
      </c>
      <c r="E928" s="228"/>
      <c r="F928" s="4">
        <f t="shared" ref="F928:G931" si="470">F929</f>
        <v>834.6</v>
      </c>
      <c r="G928" s="4">
        <f t="shared" si="470"/>
        <v>834.52212999999995</v>
      </c>
      <c r="H928" s="4">
        <f t="shared" si="459"/>
        <v>99.990669781931445</v>
      </c>
    </row>
    <row r="929" spans="1:8" ht="47.25" x14ac:dyDescent="0.25">
      <c r="A929" s="41" t="s">
        <v>947</v>
      </c>
      <c r="B929" s="319" t="s">
        <v>314</v>
      </c>
      <c r="C929" s="319" t="s">
        <v>133</v>
      </c>
      <c r="D929" s="319" t="s">
        <v>945</v>
      </c>
      <c r="E929" s="228"/>
      <c r="F929" s="4">
        <f>F930</f>
        <v>834.6</v>
      </c>
      <c r="G929" s="4">
        <f t="shared" si="470"/>
        <v>834.52212999999995</v>
      </c>
      <c r="H929" s="4">
        <f t="shared" si="459"/>
        <v>99.990669781931445</v>
      </c>
    </row>
    <row r="930" spans="1:8" ht="47.25" x14ac:dyDescent="0.25">
      <c r="A930" s="99" t="s">
        <v>1185</v>
      </c>
      <c r="B930" s="347" t="s">
        <v>314</v>
      </c>
      <c r="C930" s="347" t="s">
        <v>133</v>
      </c>
      <c r="D930" s="347" t="s">
        <v>946</v>
      </c>
      <c r="E930" s="32"/>
      <c r="F930" s="293">
        <f>F931</f>
        <v>834.6</v>
      </c>
      <c r="G930" s="293">
        <f t="shared" si="470"/>
        <v>834.52212999999995</v>
      </c>
      <c r="H930" s="337">
        <f t="shared" si="459"/>
        <v>99.990669781931445</v>
      </c>
    </row>
    <row r="931" spans="1:8" ht="31.5" x14ac:dyDescent="0.25">
      <c r="A931" s="349" t="s">
        <v>146</v>
      </c>
      <c r="B931" s="347" t="s">
        <v>314</v>
      </c>
      <c r="C931" s="347" t="s">
        <v>133</v>
      </c>
      <c r="D931" s="347" t="s">
        <v>946</v>
      </c>
      <c r="E931" s="32" t="s">
        <v>147</v>
      </c>
      <c r="F931" s="337">
        <f>F932</f>
        <v>834.6</v>
      </c>
      <c r="G931" s="337">
        <f t="shared" si="470"/>
        <v>834.52212999999995</v>
      </c>
      <c r="H931" s="337">
        <f t="shared" si="459"/>
        <v>99.990669781931445</v>
      </c>
    </row>
    <row r="932" spans="1:8" ht="47.25" x14ac:dyDescent="0.25">
      <c r="A932" s="349" t="s">
        <v>148</v>
      </c>
      <c r="B932" s="347" t="s">
        <v>314</v>
      </c>
      <c r="C932" s="347" t="s">
        <v>133</v>
      </c>
      <c r="D932" s="347" t="s">
        <v>946</v>
      </c>
      <c r="E932" s="32" t="s">
        <v>149</v>
      </c>
      <c r="F932" s="337">
        <f>'Пр.4 ведом.20'!G439</f>
        <v>834.6</v>
      </c>
      <c r="G932" s="337">
        <f>'Пр.4 ведом.20'!H439</f>
        <v>834.52212999999995</v>
      </c>
      <c r="H932" s="337">
        <f t="shared" si="459"/>
        <v>99.990669781931445</v>
      </c>
    </row>
    <row r="933" spans="1:8" s="210" customFormat="1" ht="31.5" x14ac:dyDescent="0.25">
      <c r="A933" s="318" t="s">
        <v>348</v>
      </c>
      <c r="B933" s="319" t="s">
        <v>314</v>
      </c>
      <c r="C933" s="319" t="s">
        <v>165</v>
      </c>
      <c r="D933" s="319"/>
      <c r="E933" s="32"/>
      <c r="F933" s="4">
        <f>F934+F947+F959</f>
        <v>17876.190750000005</v>
      </c>
      <c r="G933" s="4">
        <f t="shared" ref="G933" si="471">G934+G947+G959</f>
        <v>17862.161770000002</v>
      </c>
      <c r="H933" s="4">
        <f t="shared" si="459"/>
        <v>99.921521423684723</v>
      </c>
    </row>
    <row r="934" spans="1:8" s="210" customFormat="1" ht="31.5" x14ac:dyDescent="0.25">
      <c r="A934" s="318" t="s">
        <v>988</v>
      </c>
      <c r="B934" s="319" t="s">
        <v>314</v>
      </c>
      <c r="C934" s="319" t="s">
        <v>165</v>
      </c>
      <c r="D934" s="319" t="s">
        <v>902</v>
      </c>
      <c r="E934" s="32"/>
      <c r="F934" s="4">
        <f>F935</f>
        <v>6791.8907500000005</v>
      </c>
      <c r="G934" s="4">
        <f t="shared" ref="G934" si="472">G935</f>
        <v>6780.02045</v>
      </c>
      <c r="H934" s="4">
        <f t="shared" si="459"/>
        <v>99.825228343079559</v>
      </c>
    </row>
    <row r="935" spans="1:8" s="210" customFormat="1" ht="15.75" x14ac:dyDescent="0.25">
      <c r="A935" s="318" t="s">
        <v>989</v>
      </c>
      <c r="B935" s="319" t="s">
        <v>314</v>
      </c>
      <c r="C935" s="319" t="s">
        <v>165</v>
      </c>
      <c r="D935" s="319" t="s">
        <v>903</v>
      </c>
      <c r="E935" s="32"/>
      <c r="F935" s="4">
        <f>F936+F941+F944</f>
        <v>6791.8907500000005</v>
      </c>
      <c r="G935" s="4">
        <f t="shared" ref="G935" si="473">G936+G941+G944</f>
        <v>6780.02045</v>
      </c>
      <c r="H935" s="4">
        <f t="shared" si="459"/>
        <v>99.825228343079559</v>
      </c>
    </row>
    <row r="936" spans="1:8" s="210" customFormat="1" ht="31.5" x14ac:dyDescent="0.25">
      <c r="A936" s="349" t="s">
        <v>965</v>
      </c>
      <c r="B936" s="347" t="s">
        <v>314</v>
      </c>
      <c r="C936" s="347" t="s">
        <v>165</v>
      </c>
      <c r="D936" s="347" t="s">
        <v>904</v>
      </c>
      <c r="E936" s="32"/>
      <c r="F936" s="337">
        <f>F937+F939</f>
        <v>6715.6</v>
      </c>
      <c r="G936" s="337">
        <f t="shared" ref="G936" si="474">G937+G939</f>
        <v>6703.7229500000003</v>
      </c>
      <c r="H936" s="337">
        <f t="shared" si="459"/>
        <v>99.823142384894865</v>
      </c>
    </row>
    <row r="937" spans="1:8" s="210" customFormat="1" ht="78.75" x14ac:dyDescent="0.25">
      <c r="A937" s="349" t="s">
        <v>142</v>
      </c>
      <c r="B937" s="347" t="s">
        <v>314</v>
      </c>
      <c r="C937" s="347" t="s">
        <v>165</v>
      </c>
      <c r="D937" s="347" t="s">
        <v>904</v>
      </c>
      <c r="E937" s="32" t="s">
        <v>143</v>
      </c>
      <c r="F937" s="337">
        <f>F938</f>
        <v>6715.6</v>
      </c>
      <c r="G937" s="337">
        <f t="shared" ref="G937" si="475">G938</f>
        <v>6703.7229500000003</v>
      </c>
      <c r="H937" s="337">
        <f t="shared" si="459"/>
        <v>99.823142384894865</v>
      </c>
    </row>
    <row r="938" spans="1:8" ht="31.5" x14ac:dyDescent="0.25">
      <c r="A938" s="349" t="s">
        <v>144</v>
      </c>
      <c r="B938" s="347" t="s">
        <v>314</v>
      </c>
      <c r="C938" s="347" t="s">
        <v>165</v>
      </c>
      <c r="D938" s="347" t="s">
        <v>904</v>
      </c>
      <c r="E938" s="324" t="s">
        <v>145</v>
      </c>
      <c r="F938" s="337">
        <f>'Пр.4 ведом.20'!G445</f>
        <v>6715.6</v>
      </c>
      <c r="G938" s="337">
        <f>'Пр.4 ведом.20'!H445</f>
        <v>6703.7229500000003</v>
      </c>
      <c r="H938" s="337">
        <f t="shared" si="459"/>
        <v>99.823142384894865</v>
      </c>
    </row>
    <row r="939" spans="1:8" ht="31.5" hidden="1" x14ac:dyDescent="0.25">
      <c r="A939" s="349" t="s">
        <v>146</v>
      </c>
      <c r="B939" s="347" t="s">
        <v>314</v>
      </c>
      <c r="C939" s="347" t="s">
        <v>165</v>
      </c>
      <c r="D939" s="347" t="s">
        <v>904</v>
      </c>
      <c r="E939" s="324" t="s">
        <v>147</v>
      </c>
      <c r="F939" s="337">
        <f>F940</f>
        <v>0</v>
      </c>
      <c r="G939" s="337">
        <f t="shared" ref="G939" si="476">G940</f>
        <v>0</v>
      </c>
      <c r="H939" s="337" t="e">
        <f t="shared" si="459"/>
        <v>#DIV/0!</v>
      </c>
    </row>
    <row r="940" spans="1:8" ht="47.25" hidden="1" x14ac:dyDescent="0.25">
      <c r="A940" s="349" t="s">
        <v>148</v>
      </c>
      <c r="B940" s="347" t="s">
        <v>314</v>
      </c>
      <c r="C940" s="347" t="s">
        <v>165</v>
      </c>
      <c r="D940" s="347" t="s">
        <v>904</v>
      </c>
      <c r="E940" s="324" t="s">
        <v>149</v>
      </c>
      <c r="F940" s="337">
        <f>'Пр.4 ведом.20'!G447</f>
        <v>0</v>
      </c>
      <c r="G940" s="337">
        <f>'Пр.4 ведом.20'!H447</f>
        <v>0</v>
      </c>
      <c r="H940" s="337" t="e">
        <f t="shared" si="459"/>
        <v>#DIV/0!</v>
      </c>
    </row>
    <row r="941" spans="1:8" ht="47.25" x14ac:dyDescent="0.25">
      <c r="A941" s="349" t="s">
        <v>883</v>
      </c>
      <c r="B941" s="347" t="s">
        <v>314</v>
      </c>
      <c r="C941" s="347" t="s">
        <v>165</v>
      </c>
      <c r="D941" s="347" t="s">
        <v>906</v>
      </c>
      <c r="E941" s="324"/>
      <c r="F941" s="337">
        <f>F942</f>
        <v>18</v>
      </c>
      <c r="G941" s="337">
        <f t="shared" ref="G941" si="477">G942</f>
        <v>18</v>
      </c>
      <c r="H941" s="337">
        <f t="shared" si="459"/>
        <v>100</v>
      </c>
    </row>
    <row r="942" spans="1:8" ht="78.75" x14ac:dyDescent="0.25">
      <c r="A942" s="349" t="s">
        <v>142</v>
      </c>
      <c r="B942" s="347" t="s">
        <v>314</v>
      </c>
      <c r="C942" s="347" t="s">
        <v>165</v>
      </c>
      <c r="D942" s="347" t="s">
        <v>906</v>
      </c>
      <c r="E942" s="324" t="s">
        <v>143</v>
      </c>
      <c r="F942" s="337">
        <f t="shared" ref="F942:G942" si="478">F943</f>
        <v>18</v>
      </c>
      <c r="G942" s="337">
        <f t="shared" si="478"/>
        <v>18</v>
      </c>
      <c r="H942" s="337">
        <f t="shared" si="459"/>
        <v>100</v>
      </c>
    </row>
    <row r="943" spans="1:8" ht="31.5" x14ac:dyDescent="0.25">
      <c r="A943" s="349" t="s">
        <v>144</v>
      </c>
      <c r="B943" s="347" t="s">
        <v>314</v>
      </c>
      <c r="C943" s="347" t="s">
        <v>165</v>
      </c>
      <c r="D943" s="347" t="s">
        <v>906</v>
      </c>
      <c r="E943" s="324" t="s">
        <v>145</v>
      </c>
      <c r="F943" s="337">
        <f>'Пр.4 ведом.20'!G450</f>
        <v>18</v>
      </c>
      <c r="G943" s="337">
        <f>'Пр.4 ведом.20'!H450</f>
        <v>18</v>
      </c>
      <c r="H943" s="337">
        <f t="shared" si="459"/>
        <v>100</v>
      </c>
    </row>
    <row r="944" spans="1:8" s="345" customFormat="1" ht="31.5" x14ac:dyDescent="0.25">
      <c r="A944" s="349" t="s">
        <v>1582</v>
      </c>
      <c r="B944" s="347" t="s">
        <v>314</v>
      </c>
      <c r="C944" s="347" t="s">
        <v>165</v>
      </c>
      <c r="D944" s="347" t="s">
        <v>1584</v>
      </c>
      <c r="E944" s="324"/>
      <c r="F944" s="337">
        <f>F945</f>
        <v>58.290750000000003</v>
      </c>
      <c r="G944" s="337">
        <f t="shared" ref="G944:G945" si="479">G945</f>
        <v>58.297499999999999</v>
      </c>
      <c r="H944" s="337">
        <f t="shared" si="459"/>
        <v>100.01157988188521</v>
      </c>
    </row>
    <row r="945" spans="1:8" s="345" customFormat="1" ht="78.75" x14ac:dyDescent="0.25">
      <c r="A945" s="349" t="s">
        <v>142</v>
      </c>
      <c r="B945" s="347" t="s">
        <v>314</v>
      </c>
      <c r="C945" s="347" t="s">
        <v>165</v>
      </c>
      <c r="D945" s="347" t="s">
        <v>1584</v>
      </c>
      <c r="E945" s="324" t="s">
        <v>143</v>
      </c>
      <c r="F945" s="337">
        <f>F946</f>
        <v>58.290750000000003</v>
      </c>
      <c r="G945" s="337">
        <f t="shared" si="479"/>
        <v>58.297499999999999</v>
      </c>
      <c r="H945" s="337">
        <f t="shared" si="459"/>
        <v>100.01157988188521</v>
      </c>
    </row>
    <row r="946" spans="1:8" s="345" customFormat="1" ht="31.5" x14ac:dyDescent="0.25">
      <c r="A946" s="349" t="s">
        <v>144</v>
      </c>
      <c r="B946" s="347" t="s">
        <v>314</v>
      </c>
      <c r="C946" s="347" t="s">
        <v>165</v>
      </c>
      <c r="D946" s="347" t="s">
        <v>1584</v>
      </c>
      <c r="E946" s="324" t="s">
        <v>145</v>
      </c>
      <c r="F946" s="337">
        <f>'Пр.4 ведом.20'!G453</f>
        <v>58.290750000000003</v>
      </c>
      <c r="G946" s="337">
        <f>'Пр.4 ведом.20'!H453</f>
        <v>58.297499999999999</v>
      </c>
      <c r="H946" s="337">
        <f t="shared" si="459"/>
        <v>100.01157988188521</v>
      </c>
    </row>
    <row r="947" spans="1:8" ht="15.75" x14ac:dyDescent="0.25">
      <c r="A947" s="318" t="s">
        <v>997</v>
      </c>
      <c r="B947" s="319" t="s">
        <v>314</v>
      </c>
      <c r="C947" s="319" t="s">
        <v>165</v>
      </c>
      <c r="D947" s="319" t="s">
        <v>910</v>
      </c>
      <c r="E947" s="324"/>
      <c r="F947" s="4">
        <f t="shared" ref="F947:G947" si="480">F948</f>
        <v>10845.800000000005</v>
      </c>
      <c r="G947" s="4">
        <f t="shared" si="480"/>
        <v>10843.674320000002</v>
      </c>
      <c r="H947" s="4">
        <f t="shared" si="459"/>
        <v>99.980400892511355</v>
      </c>
    </row>
    <row r="948" spans="1:8" ht="31.5" x14ac:dyDescent="0.25">
      <c r="A948" s="318" t="s">
        <v>1000</v>
      </c>
      <c r="B948" s="319" t="s">
        <v>314</v>
      </c>
      <c r="C948" s="319" t="s">
        <v>165</v>
      </c>
      <c r="D948" s="319" t="s">
        <v>985</v>
      </c>
      <c r="E948" s="324"/>
      <c r="F948" s="4">
        <f>F949+F956</f>
        <v>10845.800000000005</v>
      </c>
      <c r="G948" s="4">
        <f t="shared" ref="G948" si="481">G949+G956</f>
        <v>10843.674320000002</v>
      </c>
      <c r="H948" s="4">
        <f t="shared" si="459"/>
        <v>99.980400892511355</v>
      </c>
    </row>
    <row r="949" spans="1:8" ht="38.25" customHeight="1" x14ac:dyDescent="0.25">
      <c r="A949" s="349" t="s">
        <v>972</v>
      </c>
      <c r="B949" s="347" t="s">
        <v>314</v>
      </c>
      <c r="C949" s="347" t="s">
        <v>165</v>
      </c>
      <c r="D949" s="347" t="s">
        <v>986</v>
      </c>
      <c r="E949" s="324"/>
      <c r="F949" s="337">
        <f>F950+F952+F954</f>
        <v>10642.900000000005</v>
      </c>
      <c r="G949" s="337">
        <f t="shared" ref="G949" si="482">G950+G952+G954</f>
        <v>10640.840320000001</v>
      </c>
      <c r="H949" s="337">
        <f t="shared" si="459"/>
        <v>99.980647379943406</v>
      </c>
    </row>
    <row r="950" spans="1:8" ht="86.25" customHeight="1" x14ac:dyDescent="0.25">
      <c r="A950" s="349" t="s">
        <v>142</v>
      </c>
      <c r="B950" s="347" t="s">
        <v>314</v>
      </c>
      <c r="C950" s="347" t="s">
        <v>165</v>
      </c>
      <c r="D950" s="347" t="s">
        <v>986</v>
      </c>
      <c r="E950" s="324" t="s">
        <v>143</v>
      </c>
      <c r="F950" s="337">
        <f t="shared" ref="F950:G950" si="483">F951</f>
        <v>8854.2000000000044</v>
      </c>
      <c r="G950" s="337">
        <f t="shared" si="483"/>
        <v>8854.0991200000008</v>
      </c>
      <c r="H950" s="337">
        <f t="shared" si="459"/>
        <v>99.99886065370103</v>
      </c>
    </row>
    <row r="951" spans="1:8" ht="21.75" customHeight="1" x14ac:dyDescent="0.25">
      <c r="A951" s="349" t="s">
        <v>357</v>
      </c>
      <c r="B951" s="347" t="s">
        <v>314</v>
      </c>
      <c r="C951" s="347" t="s">
        <v>165</v>
      </c>
      <c r="D951" s="347" t="s">
        <v>986</v>
      </c>
      <c r="E951" s="324" t="s">
        <v>224</v>
      </c>
      <c r="F951" s="337">
        <f>'Пр.4 ведом.20'!G458</f>
        <v>8854.2000000000044</v>
      </c>
      <c r="G951" s="337">
        <f>'Пр.4 ведом.20'!H458</f>
        <v>8854.0991200000008</v>
      </c>
      <c r="H951" s="337">
        <f t="shared" si="459"/>
        <v>99.99886065370103</v>
      </c>
    </row>
    <row r="952" spans="1:8" ht="31.5" x14ac:dyDescent="0.25">
      <c r="A952" s="349" t="s">
        <v>146</v>
      </c>
      <c r="B952" s="347" t="s">
        <v>314</v>
      </c>
      <c r="C952" s="347" t="s">
        <v>165</v>
      </c>
      <c r="D952" s="347" t="s">
        <v>986</v>
      </c>
      <c r="E952" s="324" t="s">
        <v>147</v>
      </c>
      <c r="F952" s="337">
        <f t="shared" ref="F952:G954" si="484">F953</f>
        <v>1756.7</v>
      </c>
      <c r="G952" s="337">
        <f t="shared" si="484"/>
        <v>1754.7942</v>
      </c>
      <c r="H952" s="337">
        <f t="shared" si="459"/>
        <v>99.891512495019072</v>
      </c>
    </row>
    <row r="953" spans="1:8" ht="47.25" x14ac:dyDescent="0.25">
      <c r="A953" s="349" t="s">
        <v>148</v>
      </c>
      <c r="B953" s="347" t="s">
        <v>314</v>
      </c>
      <c r="C953" s="347" t="s">
        <v>165</v>
      </c>
      <c r="D953" s="347" t="s">
        <v>986</v>
      </c>
      <c r="E953" s="324" t="s">
        <v>149</v>
      </c>
      <c r="F953" s="337">
        <f>'Пр.4 ведом.20'!G460</f>
        <v>1756.7</v>
      </c>
      <c r="G953" s="337">
        <f>'Пр.4 ведом.20'!H460</f>
        <v>1754.7942</v>
      </c>
      <c r="H953" s="337">
        <f t="shared" si="459"/>
        <v>99.891512495019072</v>
      </c>
    </row>
    <row r="954" spans="1:8" ht="15.75" x14ac:dyDescent="0.25">
      <c r="A954" s="349" t="s">
        <v>150</v>
      </c>
      <c r="B954" s="347" t="s">
        <v>314</v>
      </c>
      <c r="C954" s="347" t="s">
        <v>165</v>
      </c>
      <c r="D954" s="347" t="s">
        <v>986</v>
      </c>
      <c r="E954" s="324" t="s">
        <v>160</v>
      </c>
      <c r="F954" s="337">
        <f t="shared" si="484"/>
        <v>32</v>
      </c>
      <c r="G954" s="337">
        <f t="shared" si="484"/>
        <v>31.946999999999999</v>
      </c>
      <c r="H954" s="337">
        <f t="shared" si="459"/>
        <v>99.834374999999994</v>
      </c>
    </row>
    <row r="955" spans="1:8" ht="15.75" x14ac:dyDescent="0.25">
      <c r="A955" s="349" t="s">
        <v>583</v>
      </c>
      <c r="B955" s="347" t="s">
        <v>314</v>
      </c>
      <c r="C955" s="347" t="s">
        <v>165</v>
      </c>
      <c r="D955" s="347" t="s">
        <v>986</v>
      </c>
      <c r="E955" s="324" t="s">
        <v>153</v>
      </c>
      <c r="F955" s="337">
        <f>'Пр.4 ведом.20'!G462</f>
        <v>32</v>
      </c>
      <c r="G955" s="337">
        <f>'Пр.4 ведом.20'!H462</f>
        <v>31.946999999999999</v>
      </c>
      <c r="H955" s="337">
        <f t="shared" si="459"/>
        <v>99.834374999999994</v>
      </c>
    </row>
    <row r="956" spans="1:8" ht="47.25" x14ac:dyDescent="0.25">
      <c r="A956" s="349" t="s">
        <v>883</v>
      </c>
      <c r="B956" s="347" t="s">
        <v>314</v>
      </c>
      <c r="C956" s="347" t="s">
        <v>165</v>
      </c>
      <c r="D956" s="347" t="s">
        <v>987</v>
      </c>
      <c r="E956" s="324"/>
      <c r="F956" s="337">
        <f>F957</f>
        <v>202.9</v>
      </c>
      <c r="G956" s="337">
        <f t="shared" ref="G956" si="485">G957</f>
        <v>202.834</v>
      </c>
      <c r="H956" s="337">
        <f t="shared" si="459"/>
        <v>99.967471660916701</v>
      </c>
    </row>
    <row r="957" spans="1:8" ht="78.75" x14ac:dyDescent="0.25">
      <c r="A957" s="349" t="s">
        <v>142</v>
      </c>
      <c r="B957" s="347" t="s">
        <v>314</v>
      </c>
      <c r="C957" s="347" t="s">
        <v>165</v>
      </c>
      <c r="D957" s="347" t="s">
        <v>987</v>
      </c>
      <c r="E957" s="324" t="s">
        <v>143</v>
      </c>
      <c r="F957" s="337">
        <f t="shared" ref="F957:G957" si="486">F958</f>
        <v>202.9</v>
      </c>
      <c r="G957" s="337">
        <f t="shared" si="486"/>
        <v>202.834</v>
      </c>
      <c r="H957" s="337">
        <f t="shared" si="459"/>
        <v>99.967471660916701</v>
      </c>
    </row>
    <row r="958" spans="1:8" ht="31.5" x14ac:dyDescent="0.25">
      <c r="A958" s="349" t="s">
        <v>144</v>
      </c>
      <c r="B958" s="347" t="s">
        <v>314</v>
      </c>
      <c r="C958" s="347" t="s">
        <v>165</v>
      </c>
      <c r="D958" s="347" t="s">
        <v>987</v>
      </c>
      <c r="E958" s="324" t="s">
        <v>224</v>
      </c>
      <c r="F958" s="337">
        <f>'Пр.4 ведом.20'!G465</f>
        <v>202.9</v>
      </c>
      <c r="G958" s="337">
        <f>'Пр.4 ведом.20'!H465</f>
        <v>202.834</v>
      </c>
      <c r="H958" s="337">
        <f t="shared" si="459"/>
        <v>99.967471660916701</v>
      </c>
    </row>
    <row r="959" spans="1:8" ht="47.25" x14ac:dyDescent="0.25">
      <c r="A959" s="318" t="s">
        <v>358</v>
      </c>
      <c r="B959" s="319" t="s">
        <v>314</v>
      </c>
      <c r="C959" s="319" t="s">
        <v>165</v>
      </c>
      <c r="D959" s="319" t="s">
        <v>359</v>
      </c>
      <c r="E959" s="324"/>
      <c r="F959" s="4">
        <f>F960</f>
        <v>238.5</v>
      </c>
      <c r="G959" s="4">
        <f t="shared" ref="G959:G961" si="487">G960</f>
        <v>238.46700000000001</v>
      </c>
      <c r="H959" s="4">
        <f t="shared" si="459"/>
        <v>99.986163522012589</v>
      </c>
    </row>
    <row r="960" spans="1:8" ht="47.25" x14ac:dyDescent="0.25">
      <c r="A960" s="318" t="s">
        <v>379</v>
      </c>
      <c r="B960" s="319" t="s">
        <v>314</v>
      </c>
      <c r="C960" s="319" t="s">
        <v>165</v>
      </c>
      <c r="D960" s="319" t="s">
        <v>380</v>
      </c>
      <c r="E960" s="324"/>
      <c r="F960" s="4">
        <f>F961</f>
        <v>238.5</v>
      </c>
      <c r="G960" s="4">
        <f t="shared" si="487"/>
        <v>238.46700000000001</v>
      </c>
      <c r="H960" s="4">
        <f t="shared" si="459"/>
        <v>99.986163522012589</v>
      </c>
    </row>
    <row r="961" spans="1:8" ht="31.5" x14ac:dyDescent="0.25">
      <c r="A961" s="318" t="s">
        <v>1145</v>
      </c>
      <c r="B961" s="319" t="s">
        <v>314</v>
      </c>
      <c r="C961" s="319" t="s">
        <v>165</v>
      </c>
      <c r="D961" s="319" t="s">
        <v>964</v>
      </c>
      <c r="E961" s="324"/>
      <c r="F961" s="4">
        <f>F962</f>
        <v>238.5</v>
      </c>
      <c r="G961" s="4">
        <f t="shared" si="487"/>
        <v>238.46700000000001</v>
      </c>
      <c r="H961" s="4">
        <f t="shared" si="459"/>
        <v>99.986163522012589</v>
      </c>
    </row>
    <row r="962" spans="1:8" ht="31.5" x14ac:dyDescent="0.25">
      <c r="A962" s="349" t="s">
        <v>1144</v>
      </c>
      <c r="B962" s="347" t="s">
        <v>314</v>
      </c>
      <c r="C962" s="347" t="s">
        <v>165</v>
      </c>
      <c r="D962" s="347" t="s">
        <v>1221</v>
      </c>
      <c r="E962" s="324"/>
      <c r="F962" s="337">
        <f t="shared" ref="F962:G963" si="488">F963</f>
        <v>238.5</v>
      </c>
      <c r="G962" s="337">
        <f t="shared" si="488"/>
        <v>238.46700000000001</v>
      </c>
      <c r="H962" s="337">
        <f t="shared" si="459"/>
        <v>99.986163522012589</v>
      </c>
    </row>
    <row r="963" spans="1:8" ht="31.5" x14ac:dyDescent="0.25">
      <c r="A963" s="349" t="s">
        <v>146</v>
      </c>
      <c r="B963" s="347" t="s">
        <v>314</v>
      </c>
      <c r="C963" s="347" t="s">
        <v>165</v>
      </c>
      <c r="D963" s="347" t="s">
        <v>1221</v>
      </c>
      <c r="E963" s="324"/>
      <c r="F963" s="337">
        <f>F964</f>
        <v>238.5</v>
      </c>
      <c r="G963" s="337">
        <f t="shared" si="488"/>
        <v>238.46700000000001</v>
      </c>
      <c r="H963" s="337">
        <f t="shared" si="459"/>
        <v>99.986163522012589</v>
      </c>
    </row>
    <row r="964" spans="1:8" ht="47.25" x14ac:dyDescent="0.25">
      <c r="A964" s="349" t="s">
        <v>148</v>
      </c>
      <c r="B964" s="347" t="s">
        <v>314</v>
      </c>
      <c r="C964" s="347" t="s">
        <v>165</v>
      </c>
      <c r="D964" s="347" t="s">
        <v>1221</v>
      </c>
      <c r="E964" s="324"/>
      <c r="F964" s="337">
        <f>'Пр.4 ведом.20'!G471</f>
        <v>238.5</v>
      </c>
      <c r="G964" s="337">
        <f>'Пр.4 ведом.20'!H471</f>
        <v>238.46700000000001</v>
      </c>
      <c r="H964" s="337">
        <f t="shared" si="459"/>
        <v>99.986163522012589</v>
      </c>
    </row>
    <row r="965" spans="1:8" s="210" customFormat="1" ht="15.75" x14ac:dyDescent="0.25">
      <c r="A965" s="318" t="s">
        <v>258</v>
      </c>
      <c r="B965" s="319" t="s">
        <v>259</v>
      </c>
      <c r="C965" s="319"/>
      <c r="D965" s="319"/>
      <c r="E965" s="319"/>
      <c r="F965" s="4">
        <f>F966+F972+F1010+F1005</f>
        <v>15303.46</v>
      </c>
      <c r="G965" s="4">
        <f t="shared" ref="G965" si="489">G966+G972+G1010+G1005</f>
        <v>14825.194810000001</v>
      </c>
      <c r="H965" s="4">
        <f t="shared" si="459"/>
        <v>96.874790472220013</v>
      </c>
    </row>
    <row r="966" spans="1:8" s="210" customFormat="1" ht="15.75" x14ac:dyDescent="0.25">
      <c r="A966" s="318" t="s">
        <v>260</v>
      </c>
      <c r="B966" s="319" t="s">
        <v>259</v>
      </c>
      <c r="C966" s="319" t="s">
        <v>133</v>
      </c>
      <c r="D966" s="319"/>
      <c r="E966" s="319"/>
      <c r="F966" s="4">
        <f>F967</f>
        <v>10326</v>
      </c>
      <c r="G966" s="4">
        <f t="shared" ref="G966:G970" si="490">G967</f>
        <v>10325.19124</v>
      </c>
      <c r="H966" s="4">
        <f t="shared" si="459"/>
        <v>99.992167731938792</v>
      </c>
    </row>
    <row r="967" spans="1:8" s="210" customFormat="1" ht="15.75" x14ac:dyDescent="0.25">
      <c r="A967" s="318" t="s">
        <v>156</v>
      </c>
      <c r="B967" s="319" t="s">
        <v>259</v>
      </c>
      <c r="C967" s="319" t="s">
        <v>133</v>
      </c>
      <c r="D967" s="319" t="s">
        <v>910</v>
      </c>
      <c r="E967" s="319"/>
      <c r="F967" s="4">
        <f>F968</f>
        <v>10326</v>
      </c>
      <c r="G967" s="4">
        <f t="shared" si="490"/>
        <v>10325.19124</v>
      </c>
      <c r="H967" s="4">
        <f t="shared" si="459"/>
        <v>99.992167731938792</v>
      </c>
    </row>
    <row r="968" spans="1:8" s="210" customFormat="1" ht="31.5" x14ac:dyDescent="0.25">
      <c r="A968" s="318" t="s">
        <v>914</v>
      </c>
      <c r="B968" s="319" t="s">
        <v>259</v>
      </c>
      <c r="C968" s="319" t="s">
        <v>133</v>
      </c>
      <c r="D968" s="319" t="s">
        <v>909</v>
      </c>
      <c r="E968" s="319"/>
      <c r="F968" s="4">
        <f>F969</f>
        <v>10326</v>
      </c>
      <c r="G968" s="4">
        <f t="shared" si="490"/>
        <v>10325.19124</v>
      </c>
      <c r="H968" s="4">
        <f t="shared" si="459"/>
        <v>99.992167731938792</v>
      </c>
    </row>
    <row r="969" spans="1:8" s="210" customFormat="1" ht="15.75" x14ac:dyDescent="0.25">
      <c r="A969" s="349" t="s">
        <v>261</v>
      </c>
      <c r="B969" s="347" t="s">
        <v>259</v>
      </c>
      <c r="C969" s="347" t="s">
        <v>133</v>
      </c>
      <c r="D969" s="347" t="s">
        <v>926</v>
      </c>
      <c r="E969" s="347"/>
      <c r="F969" s="337">
        <f>F970</f>
        <v>10326</v>
      </c>
      <c r="G969" s="337">
        <f t="shared" si="490"/>
        <v>10325.19124</v>
      </c>
      <c r="H969" s="337">
        <f t="shared" ref="H969:H1032" si="491">G969/F969*100</f>
        <v>99.992167731938792</v>
      </c>
    </row>
    <row r="970" spans="1:8" s="210" customFormat="1" ht="18" customHeight="1" x14ac:dyDescent="0.25">
      <c r="A970" s="349" t="s">
        <v>263</v>
      </c>
      <c r="B970" s="347" t="s">
        <v>259</v>
      </c>
      <c r="C970" s="347" t="s">
        <v>133</v>
      </c>
      <c r="D970" s="347" t="s">
        <v>926</v>
      </c>
      <c r="E970" s="347" t="s">
        <v>264</v>
      </c>
      <c r="F970" s="337">
        <f>F971</f>
        <v>10326</v>
      </c>
      <c r="G970" s="337">
        <f t="shared" si="490"/>
        <v>10325.19124</v>
      </c>
      <c r="H970" s="337">
        <f t="shared" si="491"/>
        <v>99.992167731938792</v>
      </c>
    </row>
    <row r="971" spans="1:8" s="210" customFormat="1" ht="31.5" x14ac:dyDescent="0.25">
      <c r="A971" s="349" t="s">
        <v>265</v>
      </c>
      <c r="B971" s="347" t="s">
        <v>259</v>
      </c>
      <c r="C971" s="347" t="s">
        <v>133</v>
      </c>
      <c r="D971" s="347" t="s">
        <v>926</v>
      </c>
      <c r="E971" s="347" t="s">
        <v>266</v>
      </c>
      <c r="F971" s="337">
        <f>'Пр.4 ведом.20'!G213</f>
        <v>10326</v>
      </c>
      <c r="G971" s="337">
        <f>'Пр.4 ведом.20'!H213</f>
        <v>10325.19124</v>
      </c>
      <c r="H971" s="337">
        <f t="shared" si="491"/>
        <v>99.992167731938792</v>
      </c>
    </row>
    <row r="972" spans="1:8" ht="15.75" x14ac:dyDescent="0.25">
      <c r="A972" s="318" t="s">
        <v>267</v>
      </c>
      <c r="B972" s="319" t="s">
        <v>259</v>
      </c>
      <c r="C972" s="319" t="s">
        <v>230</v>
      </c>
      <c r="D972" s="319"/>
      <c r="E972" s="319"/>
      <c r="F972" s="4">
        <f>F973+F1000</f>
        <v>1324.9</v>
      </c>
      <c r="G972" s="4">
        <f t="shared" ref="G972" si="492">G973+G1000</f>
        <v>1324.6980000000001</v>
      </c>
      <c r="H972" s="4">
        <f t="shared" si="491"/>
        <v>99.984753566306892</v>
      </c>
    </row>
    <row r="973" spans="1:8" ht="47.25" x14ac:dyDescent="0.25">
      <c r="A973" s="318" t="s">
        <v>358</v>
      </c>
      <c r="B973" s="319" t="s">
        <v>259</v>
      </c>
      <c r="C973" s="319" t="s">
        <v>230</v>
      </c>
      <c r="D973" s="319" t="s">
        <v>359</v>
      </c>
      <c r="E973" s="319"/>
      <c r="F973" s="4">
        <f>F974+F979+F984+F995</f>
        <v>1324.9</v>
      </c>
      <c r="G973" s="4">
        <f t="shared" ref="G973" si="493">G974+G979+G984+G995</f>
        <v>1324.6980000000001</v>
      </c>
      <c r="H973" s="4">
        <f t="shared" si="491"/>
        <v>99.984753566306892</v>
      </c>
    </row>
    <row r="974" spans="1:8" ht="31.5" x14ac:dyDescent="0.25">
      <c r="A974" s="318" t="s">
        <v>367</v>
      </c>
      <c r="B974" s="319" t="s">
        <v>259</v>
      </c>
      <c r="C974" s="319" t="s">
        <v>230</v>
      </c>
      <c r="D974" s="319" t="s">
        <v>368</v>
      </c>
      <c r="E974" s="319"/>
      <c r="F974" s="4">
        <f t="shared" ref="F974:G976" si="494">F975</f>
        <v>169.20000000000002</v>
      </c>
      <c r="G974" s="4">
        <f t="shared" si="494"/>
        <v>169.05</v>
      </c>
      <c r="H974" s="4">
        <f t="shared" si="491"/>
        <v>99.911347517730491</v>
      </c>
    </row>
    <row r="975" spans="1:8" ht="30.2" customHeight="1" x14ac:dyDescent="0.25">
      <c r="A975" s="318" t="s">
        <v>974</v>
      </c>
      <c r="B975" s="319" t="s">
        <v>259</v>
      </c>
      <c r="C975" s="319" t="s">
        <v>230</v>
      </c>
      <c r="D975" s="319" t="s">
        <v>973</v>
      </c>
      <c r="E975" s="319"/>
      <c r="F975" s="4">
        <f>F976</f>
        <v>169.20000000000002</v>
      </c>
      <c r="G975" s="4">
        <f t="shared" si="494"/>
        <v>169.05</v>
      </c>
      <c r="H975" s="4">
        <f t="shared" si="491"/>
        <v>99.911347517730491</v>
      </c>
    </row>
    <row r="976" spans="1:8" ht="31.5" x14ac:dyDescent="0.25">
      <c r="A976" s="349" t="s">
        <v>867</v>
      </c>
      <c r="B976" s="347" t="s">
        <v>259</v>
      </c>
      <c r="C976" s="347" t="s">
        <v>230</v>
      </c>
      <c r="D976" s="347" t="s">
        <v>975</v>
      </c>
      <c r="E976" s="347"/>
      <c r="F976" s="337">
        <f>F977</f>
        <v>169.20000000000002</v>
      </c>
      <c r="G976" s="337">
        <f t="shared" si="494"/>
        <v>169.05</v>
      </c>
      <c r="H976" s="337">
        <f t="shared" si="491"/>
        <v>99.911347517730491</v>
      </c>
    </row>
    <row r="977" spans="1:8" ht="19.5" customHeight="1" x14ac:dyDescent="0.25">
      <c r="A977" s="349" t="s">
        <v>263</v>
      </c>
      <c r="B977" s="347" t="s">
        <v>259</v>
      </c>
      <c r="C977" s="347" t="s">
        <v>230</v>
      </c>
      <c r="D977" s="347" t="s">
        <v>975</v>
      </c>
      <c r="E977" s="347" t="s">
        <v>264</v>
      </c>
      <c r="F977" s="337">
        <f t="shared" ref="F977:G982" si="495">F978</f>
        <v>169.20000000000002</v>
      </c>
      <c r="G977" s="337">
        <f t="shared" si="495"/>
        <v>169.05</v>
      </c>
      <c r="H977" s="337">
        <f t="shared" si="491"/>
        <v>99.911347517730491</v>
      </c>
    </row>
    <row r="978" spans="1:8" ht="31.5" x14ac:dyDescent="0.25">
      <c r="A978" s="349" t="s">
        <v>265</v>
      </c>
      <c r="B978" s="347" t="s">
        <v>259</v>
      </c>
      <c r="C978" s="347" t="s">
        <v>230</v>
      </c>
      <c r="D978" s="347" t="s">
        <v>975</v>
      </c>
      <c r="E978" s="347" t="s">
        <v>266</v>
      </c>
      <c r="F978" s="337">
        <f>'Пр.4 ведом.20'!G479</f>
        <v>169.20000000000002</v>
      </c>
      <c r="G978" s="337">
        <f>'Пр.4 ведом.20'!H479</f>
        <v>169.05</v>
      </c>
      <c r="H978" s="337">
        <f t="shared" si="491"/>
        <v>99.911347517730491</v>
      </c>
    </row>
    <row r="979" spans="1:8" ht="31.5" x14ac:dyDescent="0.25">
      <c r="A979" s="318" t="s">
        <v>370</v>
      </c>
      <c r="B979" s="315">
        <v>10</v>
      </c>
      <c r="C979" s="319" t="s">
        <v>230</v>
      </c>
      <c r="D979" s="319" t="s">
        <v>371</v>
      </c>
      <c r="E979" s="319"/>
      <c r="F979" s="4">
        <f t="shared" si="495"/>
        <v>280</v>
      </c>
      <c r="G979" s="4">
        <f t="shared" si="495"/>
        <v>280</v>
      </c>
      <c r="H979" s="4">
        <f t="shared" si="491"/>
        <v>100</v>
      </c>
    </row>
    <row r="980" spans="1:8" ht="31.5" x14ac:dyDescent="0.25">
      <c r="A980" s="318" t="s">
        <v>1146</v>
      </c>
      <c r="B980" s="315">
        <v>10</v>
      </c>
      <c r="C980" s="319" t="s">
        <v>230</v>
      </c>
      <c r="D980" s="319" t="s">
        <v>976</v>
      </c>
      <c r="E980" s="319"/>
      <c r="F980" s="4">
        <f>F981</f>
        <v>280</v>
      </c>
      <c r="G980" s="4">
        <f t="shared" si="495"/>
        <v>280</v>
      </c>
      <c r="H980" s="4">
        <f t="shared" si="491"/>
        <v>100</v>
      </c>
    </row>
    <row r="981" spans="1:8" ht="15.75" x14ac:dyDescent="0.25">
      <c r="A981" s="349" t="s">
        <v>1201</v>
      </c>
      <c r="B981" s="347" t="s">
        <v>259</v>
      </c>
      <c r="C981" s="347" t="s">
        <v>230</v>
      </c>
      <c r="D981" s="347" t="s">
        <v>977</v>
      </c>
      <c r="E981" s="347"/>
      <c r="F981" s="337">
        <f>F982</f>
        <v>280</v>
      </c>
      <c r="G981" s="337">
        <f t="shared" si="495"/>
        <v>280</v>
      </c>
      <c r="H981" s="337">
        <f t="shared" si="491"/>
        <v>100</v>
      </c>
    </row>
    <row r="982" spans="1:8" ht="18.75" customHeight="1" x14ac:dyDescent="0.25">
      <c r="A982" s="349" t="s">
        <v>263</v>
      </c>
      <c r="B982" s="347" t="s">
        <v>259</v>
      </c>
      <c r="C982" s="347" t="s">
        <v>230</v>
      </c>
      <c r="D982" s="347" t="s">
        <v>977</v>
      </c>
      <c r="E982" s="347" t="s">
        <v>264</v>
      </c>
      <c r="F982" s="337">
        <f>F983</f>
        <v>280</v>
      </c>
      <c r="G982" s="337">
        <f t="shared" si="495"/>
        <v>280</v>
      </c>
      <c r="H982" s="337">
        <f t="shared" si="491"/>
        <v>100</v>
      </c>
    </row>
    <row r="983" spans="1:8" ht="31.7" customHeight="1" x14ac:dyDescent="0.25">
      <c r="A983" s="349" t="s">
        <v>363</v>
      </c>
      <c r="B983" s="347" t="s">
        <v>259</v>
      </c>
      <c r="C983" s="347" t="s">
        <v>230</v>
      </c>
      <c r="D983" s="347" t="s">
        <v>977</v>
      </c>
      <c r="E983" s="347" t="s">
        <v>364</v>
      </c>
      <c r="F983" s="337">
        <f>'Пр.4 ведом.20'!G484</f>
        <v>280</v>
      </c>
      <c r="G983" s="337">
        <f>'Пр.4 ведом.20'!H484</f>
        <v>280</v>
      </c>
      <c r="H983" s="337">
        <f t="shared" si="491"/>
        <v>100</v>
      </c>
    </row>
    <row r="984" spans="1:8" ht="19.5" customHeight="1" x14ac:dyDescent="0.25">
      <c r="A984" s="318" t="s">
        <v>373</v>
      </c>
      <c r="B984" s="315">
        <v>10</v>
      </c>
      <c r="C984" s="319" t="s">
        <v>230</v>
      </c>
      <c r="D984" s="319" t="s">
        <v>374</v>
      </c>
      <c r="E984" s="319"/>
      <c r="F984" s="4">
        <f>F985+F989</f>
        <v>681.7</v>
      </c>
      <c r="G984" s="4">
        <f t="shared" ref="G984" si="496">G985+G989</f>
        <v>681.64800000000002</v>
      </c>
      <c r="H984" s="4">
        <f t="shared" si="491"/>
        <v>99.992372011148603</v>
      </c>
    </row>
    <row r="985" spans="1:8" ht="31.5" x14ac:dyDescent="0.25">
      <c r="A985" s="318" t="s">
        <v>1203</v>
      </c>
      <c r="B985" s="319" t="s">
        <v>259</v>
      </c>
      <c r="C985" s="319" t="s">
        <v>230</v>
      </c>
      <c r="D985" s="319" t="s">
        <v>979</v>
      </c>
      <c r="E985" s="319"/>
      <c r="F985" s="4">
        <f>F986</f>
        <v>498</v>
      </c>
      <c r="G985" s="4">
        <f t="shared" ref="G985:G986" si="497">G986</f>
        <v>497.95</v>
      </c>
      <c r="H985" s="4">
        <f t="shared" si="491"/>
        <v>99.989959839357425</v>
      </c>
    </row>
    <row r="986" spans="1:8" ht="49.7" customHeight="1" x14ac:dyDescent="0.25">
      <c r="A986" s="99" t="s">
        <v>1204</v>
      </c>
      <c r="B986" s="347" t="s">
        <v>259</v>
      </c>
      <c r="C986" s="347" t="s">
        <v>230</v>
      </c>
      <c r="D986" s="347" t="s">
        <v>980</v>
      </c>
      <c r="E986" s="347"/>
      <c r="F986" s="337">
        <f>F987</f>
        <v>498</v>
      </c>
      <c r="G986" s="337">
        <f t="shared" si="497"/>
        <v>497.95</v>
      </c>
      <c r="H986" s="337">
        <f t="shared" si="491"/>
        <v>99.989959839357425</v>
      </c>
    </row>
    <row r="987" spans="1:8" ht="20.25" customHeight="1" x14ac:dyDescent="0.25">
      <c r="A987" s="349" t="s">
        <v>263</v>
      </c>
      <c r="B987" s="347" t="s">
        <v>259</v>
      </c>
      <c r="C987" s="347" t="s">
        <v>230</v>
      </c>
      <c r="D987" s="347" t="s">
        <v>980</v>
      </c>
      <c r="E987" s="347" t="s">
        <v>264</v>
      </c>
      <c r="F987" s="337">
        <f t="shared" ref="F987:G987" si="498">F988</f>
        <v>498</v>
      </c>
      <c r="G987" s="337">
        <f t="shared" si="498"/>
        <v>497.95</v>
      </c>
      <c r="H987" s="337">
        <f t="shared" si="491"/>
        <v>99.989959839357425</v>
      </c>
    </row>
    <row r="988" spans="1:8" ht="15.75" customHeight="1" x14ac:dyDescent="0.25">
      <c r="A988" s="349" t="s">
        <v>363</v>
      </c>
      <c r="B988" s="347" t="s">
        <v>259</v>
      </c>
      <c r="C988" s="347" t="s">
        <v>230</v>
      </c>
      <c r="D988" s="347" t="s">
        <v>980</v>
      </c>
      <c r="E988" s="347" t="s">
        <v>364</v>
      </c>
      <c r="F988" s="337">
        <f>'Пр.4 ведом.20'!G489</f>
        <v>498</v>
      </c>
      <c r="G988" s="337">
        <f>'Пр.4 ведом.20'!H489</f>
        <v>497.95</v>
      </c>
      <c r="H988" s="337">
        <f t="shared" si="491"/>
        <v>99.989959839357425</v>
      </c>
    </row>
    <row r="989" spans="1:8" ht="34.5" customHeight="1" x14ac:dyDescent="0.25">
      <c r="A989" s="318" t="s">
        <v>978</v>
      </c>
      <c r="B989" s="315">
        <v>10</v>
      </c>
      <c r="C989" s="319" t="s">
        <v>230</v>
      </c>
      <c r="D989" s="319" t="s">
        <v>981</v>
      </c>
      <c r="E989" s="319"/>
      <c r="F989" s="4">
        <f>F990+F993</f>
        <v>183.7</v>
      </c>
      <c r="G989" s="4">
        <f t="shared" ref="G989" si="499">G990+G993</f>
        <v>183.69800000000001</v>
      </c>
      <c r="H989" s="4">
        <f t="shared" si="491"/>
        <v>99.998911268372353</v>
      </c>
    </row>
    <row r="990" spans="1:8" ht="31.5" x14ac:dyDescent="0.25">
      <c r="A990" s="349" t="s">
        <v>1147</v>
      </c>
      <c r="B990" s="347" t="s">
        <v>259</v>
      </c>
      <c r="C990" s="347" t="s">
        <v>230</v>
      </c>
      <c r="D990" s="347" t="s">
        <v>982</v>
      </c>
      <c r="E990" s="347"/>
      <c r="F990" s="337">
        <f t="shared" ref="F990:G991" si="500">F991</f>
        <v>183.7</v>
      </c>
      <c r="G990" s="337">
        <f t="shared" si="500"/>
        <v>183.69800000000001</v>
      </c>
      <c r="H990" s="337">
        <f t="shared" si="491"/>
        <v>99.998911268372353</v>
      </c>
    </row>
    <row r="991" spans="1:8" ht="31.5" x14ac:dyDescent="0.25">
      <c r="A991" s="349" t="s">
        <v>146</v>
      </c>
      <c r="B991" s="347" t="s">
        <v>259</v>
      </c>
      <c r="C991" s="347" t="s">
        <v>230</v>
      </c>
      <c r="D991" s="347" t="s">
        <v>982</v>
      </c>
      <c r="E991" s="347" t="s">
        <v>147</v>
      </c>
      <c r="F991" s="337">
        <f t="shared" si="500"/>
        <v>183.7</v>
      </c>
      <c r="G991" s="337">
        <f t="shared" si="500"/>
        <v>183.69800000000001</v>
      </c>
      <c r="H991" s="337">
        <f t="shared" si="491"/>
        <v>99.998911268372353</v>
      </c>
    </row>
    <row r="992" spans="1:8" ht="47.25" x14ac:dyDescent="0.25">
      <c r="A992" s="349" t="s">
        <v>148</v>
      </c>
      <c r="B992" s="347" t="s">
        <v>259</v>
      </c>
      <c r="C992" s="347" t="s">
        <v>230</v>
      </c>
      <c r="D992" s="347" t="s">
        <v>982</v>
      </c>
      <c r="E992" s="347" t="s">
        <v>149</v>
      </c>
      <c r="F992" s="337">
        <f>'Пр.4 ведом.20'!G493</f>
        <v>183.7</v>
      </c>
      <c r="G992" s="337">
        <f>'Пр.4 ведом.20'!H493</f>
        <v>183.69800000000001</v>
      </c>
      <c r="H992" s="337">
        <f t="shared" si="491"/>
        <v>99.998911268372353</v>
      </c>
    </row>
    <row r="993" spans="1:8" s="210" customFormat="1" ht="31.5" hidden="1" x14ac:dyDescent="0.25">
      <c r="A993" s="349" t="s">
        <v>263</v>
      </c>
      <c r="B993" s="347" t="s">
        <v>259</v>
      </c>
      <c r="C993" s="347" t="s">
        <v>230</v>
      </c>
      <c r="D993" s="347" t="s">
        <v>982</v>
      </c>
      <c r="E993" s="347" t="s">
        <v>264</v>
      </c>
      <c r="F993" s="321">
        <f>F994</f>
        <v>0</v>
      </c>
      <c r="G993" s="321">
        <f t="shared" ref="G993" si="501">G994</f>
        <v>0</v>
      </c>
      <c r="H993" s="337" t="e">
        <f t="shared" si="491"/>
        <v>#DIV/0!</v>
      </c>
    </row>
    <row r="994" spans="1:8" s="210" customFormat="1" ht="31.5" hidden="1" x14ac:dyDescent="0.25">
      <c r="A994" s="349" t="s">
        <v>363</v>
      </c>
      <c r="B994" s="347" t="s">
        <v>259</v>
      </c>
      <c r="C994" s="347" t="s">
        <v>230</v>
      </c>
      <c r="D994" s="347" t="s">
        <v>982</v>
      </c>
      <c r="E994" s="347" t="s">
        <v>364</v>
      </c>
      <c r="F994" s="321">
        <f>'Пр.4 ведом.20'!G495</f>
        <v>0</v>
      </c>
      <c r="G994" s="321">
        <f>'Пр.4 ведом.20'!H495</f>
        <v>0</v>
      </c>
      <c r="H994" s="337" t="e">
        <f t="shared" si="491"/>
        <v>#DIV/0!</v>
      </c>
    </row>
    <row r="995" spans="1:8" ht="31.7" customHeight="1" x14ac:dyDescent="0.25">
      <c r="A995" s="318" t="s">
        <v>376</v>
      </c>
      <c r="B995" s="319" t="s">
        <v>259</v>
      </c>
      <c r="C995" s="319" t="s">
        <v>230</v>
      </c>
      <c r="D995" s="319" t="s">
        <v>377</v>
      </c>
      <c r="E995" s="319"/>
      <c r="F995" s="4">
        <f t="shared" ref="F995:G997" si="502">F996</f>
        <v>194</v>
      </c>
      <c r="G995" s="4">
        <f t="shared" si="502"/>
        <v>194</v>
      </c>
      <c r="H995" s="4">
        <f t="shared" si="491"/>
        <v>100</v>
      </c>
    </row>
    <row r="996" spans="1:8" ht="31.7" customHeight="1" x14ac:dyDescent="0.25">
      <c r="A996" s="318" t="s">
        <v>1206</v>
      </c>
      <c r="B996" s="319" t="s">
        <v>259</v>
      </c>
      <c r="C996" s="319" t="s">
        <v>230</v>
      </c>
      <c r="D996" s="319" t="s">
        <v>984</v>
      </c>
      <c r="E996" s="319"/>
      <c r="F996" s="4">
        <f t="shared" si="502"/>
        <v>194</v>
      </c>
      <c r="G996" s="4">
        <f t="shared" si="502"/>
        <v>194</v>
      </c>
      <c r="H996" s="4">
        <f t="shared" si="491"/>
        <v>100</v>
      </c>
    </row>
    <row r="997" spans="1:8" ht="47.25" customHeight="1" x14ac:dyDescent="0.25">
      <c r="A997" s="349" t="s">
        <v>1205</v>
      </c>
      <c r="B997" s="347" t="s">
        <v>259</v>
      </c>
      <c r="C997" s="347" t="s">
        <v>230</v>
      </c>
      <c r="D997" s="347" t="s">
        <v>983</v>
      </c>
      <c r="E997" s="347"/>
      <c r="F997" s="337">
        <f>F998</f>
        <v>194</v>
      </c>
      <c r="G997" s="337">
        <f t="shared" si="502"/>
        <v>194</v>
      </c>
      <c r="H997" s="337">
        <f t="shared" si="491"/>
        <v>100</v>
      </c>
    </row>
    <row r="998" spans="1:8" ht="19.5" customHeight="1" x14ac:dyDescent="0.25">
      <c r="A998" s="349" t="s">
        <v>263</v>
      </c>
      <c r="B998" s="347" t="s">
        <v>259</v>
      </c>
      <c r="C998" s="347" t="s">
        <v>230</v>
      </c>
      <c r="D998" s="347" t="s">
        <v>983</v>
      </c>
      <c r="E998" s="347" t="s">
        <v>264</v>
      </c>
      <c r="F998" s="337">
        <f t="shared" ref="F998:G998" si="503">F999</f>
        <v>194</v>
      </c>
      <c r="G998" s="337">
        <f t="shared" si="503"/>
        <v>194</v>
      </c>
      <c r="H998" s="337">
        <f t="shared" si="491"/>
        <v>100</v>
      </c>
    </row>
    <row r="999" spans="1:8" ht="31.5" x14ac:dyDescent="0.25">
      <c r="A999" s="349" t="s">
        <v>363</v>
      </c>
      <c r="B999" s="347" t="s">
        <v>259</v>
      </c>
      <c r="C999" s="347" t="s">
        <v>230</v>
      </c>
      <c r="D999" s="347" t="s">
        <v>983</v>
      </c>
      <c r="E999" s="347" t="s">
        <v>364</v>
      </c>
      <c r="F999" s="337">
        <f>'Пр.4 ведом.20'!G500</f>
        <v>194</v>
      </c>
      <c r="G999" s="337">
        <f>'Пр.4 ведом.20'!H500</f>
        <v>194</v>
      </c>
      <c r="H999" s="337">
        <f t="shared" si="491"/>
        <v>100</v>
      </c>
    </row>
    <row r="1000" spans="1:8" ht="78" hidden="1" customHeight="1" x14ac:dyDescent="0.25">
      <c r="A1000" s="318" t="s">
        <v>268</v>
      </c>
      <c r="B1000" s="319" t="s">
        <v>259</v>
      </c>
      <c r="C1000" s="319" t="s">
        <v>230</v>
      </c>
      <c r="D1000" s="319" t="s">
        <v>269</v>
      </c>
      <c r="E1000" s="319"/>
      <c r="F1000" s="4">
        <f t="shared" ref="F1000:G1003" si="504">F1001</f>
        <v>0</v>
      </c>
      <c r="G1000" s="4">
        <f t="shared" si="504"/>
        <v>0</v>
      </c>
      <c r="H1000" s="337" t="e">
        <f t="shared" si="491"/>
        <v>#DIV/0!</v>
      </c>
    </row>
    <row r="1001" spans="1:8" ht="47.25" hidden="1" x14ac:dyDescent="0.25">
      <c r="A1001" s="318" t="s">
        <v>929</v>
      </c>
      <c r="B1001" s="319" t="s">
        <v>259</v>
      </c>
      <c r="C1001" s="319" t="s">
        <v>230</v>
      </c>
      <c r="D1001" s="319" t="s">
        <v>927</v>
      </c>
      <c r="E1001" s="319"/>
      <c r="F1001" s="4">
        <f t="shared" si="504"/>
        <v>0</v>
      </c>
      <c r="G1001" s="4">
        <f t="shared" si="504"/>
        <v>0</v>
      </c>
      <c r="H1001" s="337" t="e">
        <f t="shared" si="491"/>
        <v>#DIV/0!</v>
      </c>
    </row>
    <row r="1002" spans="1:8" ht="31.5" hidden="1" x14ac:dyDescent="0.25">
      <c r="A1002" s="349" t="s">
        <v>928</v>
      </c>
      <c r="B1002" s="347" t="s">
        <v>259</v>
      </c>
      <c r="C1002" s="347" t="s">
        <v>230</v>
      </c>
      <c r="D1002" s="347" t="s">
        <v>1460</v>
      </c>
      <c r="E1002" s="347"/>
      <c r="F1002" s="337">
        <f t="shared" si="504"/>
        <v>0</v>
      </c>
      <c r="G1002" s="337">
        <f t="shared" si="504"/>
        <v>0</v>
      </c>
      <c r="H1002" s="337" t="e">
        <f t="shared" si="491"/>
        <v>#DIV/0!</v>
      </c>
    </row>
    <row r="1003" spans="1:8" ht="19.5" hidden="1" customHeight="1" x14ac:dyDescent="0.25">
      <c r="A1003" s="349" t="s">
        <v>263</v>
      </c>
      <c r="B1003" s="347" t="s">
        <v>259</v>
      </c>
      <c r="C1003" s="347" t="s">
        <v>230</v>
      </c>
      <c r="D1003" s="347" t="s">
        <v>1460</v>
      </c>
      <c r="E1003" s="347" t="s">
        <v>264</v>
      </c>
      <c r="F1003" s="337">
        <f>F1004</f>
        <v>0</v>
      </c>
      <c r="G1003" s="337">
        <f t="shared" si="504"/>
        <v>0</v>
      </c>
      <c r="H1003" s="337" t="e">
        <f t="shared" si="491"/>
        <v>#DIV/0!</v>
      </c>
    </row>
    <row r="1004" spans="1:8" ht="31.5" hidden="1" x14ac:dyDescent="0.25">
      <c r="A1004" s="349" t="s">
        <v>265</v>
      </c>
      <c r="B1004" s="347" t="s">
        <v>259</v>
      </c>
      <c r="C1004" s="347" t="s">
        <v>230</v>
      </c>
      <c r="D1004" s="347" t="s">
        <v>1460</v>
      </c>
      <c r="E1004" s="347" t="s">
        <v>266</v>
      </c>
      <c r="F1004" s="337">
        <f>'Пр.4 ведом.20'!G219</f>
        <v>0</v>
      </c>
      <c r="G1004" s="337">
        <f>'Пр.4 ведом.20'!H219</f>
        <v>0</v>
      </c>
      <c r="H1004" s="337" t="e">
        <f t="shared" si="491"/>
        <v>#DIV/0!</v>
      </c>
    </row>
    <row r="1005" spans="1:8" s="210" customFormat="1" ht="15.75" x14ac:dyDescent="0.25">
      <c r="A1005" s="318" t="s">
        <v>415</v>
      </c>
      <c r="B1005" s="319" t="s">
        <v>259</v>
      </c>
      <c r="C1005" s="319" t="s">
        <v>165</v>
      </c>
      <c r="D1005" s="319"/>
      <c r="E1005" s="319"/>
      <c r="F1005" s="4">
        <f>F1006</f>
        <v>31.160000000000082</v>
      </c>
      <c r="G1005" s="4">
        <f t="shared" ref="G1005:G1008" si="505">G1006</f>
        <v>0</v>
      </c>
      <c r="H1005" s="4">
        <f t="shared" si="491"/>
        <v>0</v>
      </c>
    </row>
    <row r="1006" spans="1:8" s="210" customFormat="1" ht="31.5" x14ac:dyDescent="0.25">
      <c r="A1006" s="318" t="s">
        <v>930</v>
      </c>
      <c r="B1006" s="319" t="s">
        <v>259</v>
      </c>
      <c r="C1006" s="319" t="s">
        <v>165</v>
      </c>
      <c r="D1006" s="319" t="s">
        <v>907</v>
      </c>
      <c r="E1006" s="347"/>
      <c r="F1006" s="317">
        <f>F1007</f>
        <v>31.160000000000082</v>
      </c>
      <c r="G1006" s="317">
        <f t="shared" si="505"/>
        <v>0</v>
      </c>
      <c r="H1006" s="4">
        <f t="shared" si="491"/>
        <v>0</v>
      </c>
    </row>
    <row r="1007" spans="1:8" s="210" customFormat="1" ht="47.25" x14ac:dyDescent="0.25">
      <c r="A1007" s="349" t="s">
        <v>1403</v>
      </c>
      <c r="B1007" s="347" t="s">
        <v>259</v>
      </c>
      <c r="C1007" s="347" t="s">
        <v>165</v>
      </c>
      <c r="D1007" s="347" t="s">
        <v>1402</v>
      </c>
      <c r="E1007" s="347"/>
      <c r="F1007" s="321">
        <f>F1008</f>
        <v>31.160000000000082</v>
      </c>
      <c r="G1007" s="321">
        <f t="shared" si="505"/>
        <v>0</v>
      </c>
      <c r="H1007" s="337">
        <f t="shared" si="491"/>
        <v>0</v>
      </c>
    </row>
    <row r="1008" spans="1:8" s="210" customFormat="1" ht="31.5" x14ac:dyDescent="0.25">
      <c r="A1008" s="349" t="s">
        <v>146</v>
      </c>
      <c r="B1008" s="347" t="s">
        <v>259</v>
      </c>
      <c r="C1008" s="347" t="s">
        <v>165</v>
      </c>
      <c r="D1008" s="347" t="s">
        <v>1402</v>
      </c>
      <c r="E1008" s="347" t="s">
        <v>147</v>
      </c>
      <c r="F1008" s="321">
        <f>F1009</f>
        <v>31.160000000000082</v>
      </c>
      <c r="G1008" s="321">
        <f t="shared" si="505"/>
        <v>0</v>
      </c>
      <c r="H1008" s="337">
        <f t="shared" si="491"/>
        <v>0</v>
      </c>
    </row>
    <row r="1009" spans="1:10" s="210" customFormat="1" ht="47.25" x14ac:dyDescent="0.25">
      <c r="A1009" s="349" t="s">
        <v>148</v>
      </c>
      <c r="B1009" s="347" t="s">
        <v>259</v>
      </c>
      <c r="C1009" s="347" t="s">
        <v>165</v>
      </c>
      <c r="D1009" s="347" t="s">
        <v>1402</v>
      </c>
      <c r="E1009" s="347" t="s">
        <v>149</v>
      </c>
      <c r="F1009" s="321">
        <f>'Пр.4 ведом.20'!G573</f>
        <v>31.160000000000082</v>
      </c>
      <c r="G1009" s="321">
        <f>'Пр.4 ведом.20'!H573</f>
        <v>0</v>
      </c>
      <c r="H1009" s="337">
        <f t="shared" si="491"/>
        <v>0</v>
      </c>
    </row>
    <row r="1010" spans="1:10" s="210" customFormat="1" ht="15.75" x14ac:dyDescent="0.25">
      <c r="A1010" s="318" t="s">
        <v>273</v>
      </c>
      <c r="B1010" s="319" t="s">
        <v>259</v>
      </c>
      <c r="C1010" s="319" t="s">
        <v>135</v>
      </c>
      <c r="D1010" s="319"/>
      <c r="E1010" s="319"/>
      <c r="F1010" s="4">
        <f>F1011+F1018</f>
        <v>3621.4</v>
      </c>
      <c r="G1010" s="4">
        <f t="shared" ref="G1010" si="506">G1011+G1018</f>
        <v>3175.30557</v>
      </c>
      <c r="H1010" s="4">
        <f t="shared" si="491"/>
        <v>87.681713425746949</v>
      </c>
    </row>
    <row r="1011" spans="1:10" s="210" customFormat="1" ht="31.5" x14ac:dyDescent="0.25">
      <c r="A1011" s="318" t="s">
        <v>988</v>
      </c>
      <c r="B1011" s="319" t="s">
        <v>259</v>
      </c>
      <c r="C1011" s="319" t="s">
        <v>135</v>
      </c>
      <c r="D1011" s="319" t="s">
        <v>902</v>
      </c>
      <c r="E1011" s="319"/>
      <c r="F1011" s="4">
        <f>F1012</f>
        <v>3621.4</v>
      </c>
      <c r="G1011" s="4">
        <f t="shared" ref="G1011:G1012" si="507">G1012</f>
        <v>3175.30557</v>
      </c>
      <c r="H1011" s="4">
        <f t="shared" si="491"/>
        <v>87.681713425746949</v>
      </c>
    </row>
    <row r="1012" spans="1:10" ht="31.5" x14ac:dyDescent="0.25">
      <c r="A1012" s="318" t="s">
        <v>930</v>
      </c>
      <c r="B1012" s="319" t="s">
        <v>259</v>
      </c>
      <c r="C1012" s="319" t="s">
        <v>135</v>
      </c>
      <c r="D1012" s="319" t="s">
        <v>907</v>
      </c>
      <c r="E1012" s="319"/>
      <c r="F1012" s="4">
        <f>F1013</f>
        <v>3621.4</v>
      </c>
      <c r="G1012" s="4">
        <f t="shared" si="507"/>
        <v>3175.30557</v>
      </c>
      <c r="H1012" s="4">
        <f t="shared" si="491"/>
        <v>87.681713425746949</v>
      </c>
    </row>
    <row r="1013" spans="1:10" ht="43.5" customHeight="1" x14ac:dyDescent="0.25">
      <c r="A1013" s="31" t="s">
        <v>274</v>
      </c>
      <c r="B1013" s="347" t="s">
        <v>259</v>
      </c>
      <c r="C1013" s="347" t="s">
        <v>135</v>
      </c>
      <c r="D1013" s="347" t="s">
        <v>996</v>
      </c>
      <c r="E1013" s="347"/>
      <c r="F1013" s="337">
        <f>F1014+F1016</f>
        <v>3621.4</v>
      </c>
      <c r="G1013" s="337">
        <f t="shared" ref="G1013" si="508">G1014+G1016</f>
        <v>3175.30557</v>
      </c>
      <c r="H1013" s="337">
        <f t="shared" si="491"/>
        <v>87.681713425746949</v>
      </c>
    </row>
    <row r="1014" spans="1:10" ht="78.75" x14ac:dyDescent="0.25">
      <c r="A1014" s="349" t="s">
        <v>142</v>
      </c>
      <c r="B1014" s="347" t="s">
        <v>259</v>
      </c>
      <c r="C1014" s="347" t="s">
        <v>135</v>
      </c>
      <c r="D1014" s="347" t="s">
        <v>996</v>
      </c>
      <c r="E1014" s="347" t="s">
        <v>143</v>
      </c>
      <c r="F1014" s="337">
        <f t="shared" ref="F1014:G1014" si="509">F1015</f>
        <v>3220.8</v>
      </c>
      <c r="G1014" s="337">
        <f t="shared" si="509"/>
        <v>2843.13996</v>
      </c>
      <c r="H1014" s="337">
        <f t="shared" si="491"/>
        <v>88.274340536512668</v>
      </c>
    </row>
    <row r="1015" spans="1:10" ht="31.5" x14ac:dyDescent="0.25">
      <c r="A1015" s="349" t="s">
        <v>144</v>
      </c>
      <c r="B1015" s="347" t="s">
        <v>259</v>
      </c>
      <c r="C1015" s="347" t="s">
        <v>135</v>
      </c>
      <c r="D1015" s="347" t="s">
        <v>996</v>
      </c>
      <c r="E1015" s="347" t="s">
        <v>145</v>
      </c>
      <c r="F1015" s="337">
        <f>'Пр.4 ведом.20'!G225</f>
        <v>3220.8</v>
      </c>
      <c r="G1015" s="337">
        <f>'Пр.4 ведом.20'!H225</f>
        <v>2843.13996</v>
      </c>
      <c r="H1015" s="337">
        <f t="shared" si="491"/>
        <v>88.274340536512668</v>
      </c>
    </row>
    <row r="1016" spans="1:10" ht="32.25" customHeight="1" x14ac:dyDescent="0.25">
      <c r="A1016" s="349" t="s">
        <v>146</v>
      </c>
      <c r="B1016" s="347" t="s">
        <v>259</v>
      </c>
      <c r="C1016" s="347" t="s">
        <v>135</v>
      </c>
      <c r="D1016" s="347" t="s">
        <v>996</v>
      </c>
      <c r="E1016" s="347" t="s">
        <v>147</v>
      </c>
      <c r="F1016" s="337">
        <f t="shared" ref="F1016:G1016" si="510">F1017</f>
        <v>400.6</v>
      </c>
      <c r="G1016" s="337">
        <f t="shared" si="510"/>
        <v>332.16561000000002</v>
      </c>
      <c r="H1016" s="337">
        <f t="shared" si="491"/>
        <v>82.917026959560658</v>
      </c>
    </row>
    <row r="1017" spans="1:10" ht="31.7" customHeight="1" x14ac:dyDescent="0.25">
      <c r="A1017" s="349" t="s">
        <v>148</v>
      </c>
      <c r="B1017" s="347" t="s">
        <v>259</v>
      </c>
      <c r="C1017" s="347" t="s">
        <v>135</v>
      </c>
      <c r="D1017" s="347" t="s">
        <v>996</v>
      </c>
      <c r="E1017" s="347" t="s">
        <v>149</v>
      </c>
      <c r="F1017" s="337">
        <f>'Пр.4 ведом.20'!G227</f>
        <v>400.6</v>
      </c>
      <c r="G1017" s="337">
        <f>'Пр.4 ведом.20'!H227</f>
        <v>332.16561000000002</v>
      </c>
      <c r="H1017" s="337">
        <f t="shared" si="491"/>
        <v>82.917026959560658</v>
      </c>
    </row>
    <row r="1018" spans="1:10" s="210" customFormat="1" ht="15" hidden="1" customHeight="1" x14ac:dyDescent="0.25">
      <c r="A1018" s="318" t="s">
        <v>156</v>
      </c>
      <c r="B1018" s="319" t="s">
        <v>259</v>
      </c>
      <c r="C1018" s="319" t="s">
        <v>135</v>
      </c>
      <c r="D1018" s="319" t="s">
        <v>910</v>
      </c>
      <c r="E1018" s="319"/>
      <c r="F1018" s="4">
        <f>F1019</f>
        <v>0</v>
      </c>
      <c r="G1018" s="4">
        <f t="shared" ref="G1018:G1021" si="511">G1019</f>
        <v>0</v>
      </c>
      <c r="H1018" s="337" t="e">
        <f t="shared" si="491"/>
        <v>#DIV/0!</v>
      </c>
    </row>
    <row r="1019" spans="1:10" ht="37.5" hidden="1" customHeight="1" x14ac:dyDescent="0.25">
      <c r="A1019" s="318" t="s">
        <v>914</v>
      </c>
      <c r="B1019" s="319" t="s">
        <v>259</v>
      </c>
      <c r="C1019" s="319" t="s">
        <v>135</v>
      </c>
      <c r="D1019" s="319" t="s">
        <v>909</v>
      </c>
      <c r="E1019" s="319"/>
      <c r="F1019" s="4">
        <f>F1020</f>
        <v>0</v>
      </c>
      <c r="G1019" s="4">
        <f t="shared" si="511"/>
        <v>0</v>
      </c>
      <c r="H1019" s="337" t="e">
        <f t="shared" si="491"/>
        <v>#DIV/0!</v>
      </c>
    </row>
    <row r="1020" spans="1:10" ht="15.75" hidden="1" customHeight="1" x14ac:dyDescent="0.25">
      <c r="A1020" s="349" t="s">
        <v>587</v>
      </c>
      <c r="B1020" s="347" t="s">
        <v>259</v>
      </c>
      <c r="C1020" s="347" t="s">
        <v>135</v>
      </c>
      <c r="D1020" s="347" t="s">
        <v>1131</v>
      </c>
      <c r="E1020" s="347"/>
      <c r="F1020" s="337">
        <f>F1021</f>
        <v>0</v>
      </c>
      <c r="G1020" s="337">
        <f t="shared" si="511"/>
        <v>0</v>
      </c>
      <c r="H1020" s="337" t="e">
        <f t="shared" si="491"/>
        <v>#DIV/0!</v>
      </c>
    </row>
    <row r="1021" spans="1:10" ht="31.7" hidden="1" customHeight="1" x14ac:dyDescent="0.25">
      <c r="A1021" s="349" t="s">
        <v>146</v>
      </c>
      <c r="B1021" s="347" t="s">
        <v>259</v>
      </c>
      <c r="C1021" s="347" t="s">
        <v>135</v>
      </c>
      <c r="D1021" s="347" t="s">
        <v>1131</v>
      </c>
      <c r="E1021" s="347" t="s">
        <v>147</v>
      </c>
      <c r="F1021" s="337">
        <f>F1022</f>
        <v>0</v>
      </c>
      <c r="G1021" s="337">
        <f t="shared" si="511"/>
        <v>0</v>
      </c>
      <c r="H1021" s="337" t="e">
        <f t="shared" si="491"/>
        <v>#DIV/0!</v>
      </c>
    </row>
    <row r="1022" spans="1:10" ht="35.450000000000003" hidden="1" customHeight="1" x14ac:dyDescent="0.25">
      <c r="A1022" s="349" t="s">
        <v>148</v>
      </c>
      <c r="B1022" s="347" t="s">
        <v>259</v>
      </c>
      <c r="C1022" s="347" t="s">
        <v>135</v>
      </c>
      <c r="D1022" s="347" t="s">
        <v>1131</v>
      </c>
      <c r="E1022" s="347" t="s">
        <v>149</v>
      </c>
      <c r="F1022" s="337">
        <f>'Пр.4 ведом.20'!G1194</f>
        <v>0</v>
      </c>
      <c r="G1022" s="337">
        <f>'Пр.4 ведом.20'!H1194</f>
        <v>0</v>
      </c>
      <c r="H1022" s="337" t="e">
        <f t="shared" si="491"/>
        <v>#DIV/0!</v>
      </c>
    </row>
    <row r="1023" spans="1:10" ht="15.75" x14ac:dyDescent="0.25">
      <c r="A1023" s="41" t="s">
        <v>505</v>
      </c>
      <c r="B1023" s="312" t="s">
        <v>506</v>
      </c>
      <c r="C1023" s="324"/>
      <c r="D1023" s="324"/>
      <c r="E1023" s="324"/>
      <c r="F1023" s="4">
        <f>F1024+F1086</f>
        <v>65756.208149999991</v>
      </c>
      <c r="G1023" s="4">
        <f t="shared" ref="G1023" si="512">G1024+G1086</f>
        <v>65462.30128</v>
      </c>
      <c r="H1023" s="4">
        <f t="shared" si="491"/>
        <v>99.553035556232885</v>
      </c>
    </row>
    <row r="1024" spans="1:10" ht="15.75" x14ac:dyDescent="0.25">
      <c r="A1024" s="318" t="s">
        <v>507</v>
      </c>
      <c r="B1024" s="319" t="s">
        <v>506</v>
      </c>
      <c r="C1024" s="319" t="s">
        <v>133</v>
      </c>
      <c r="D1024" s="347"/>
      <c r="E1024" s="347"/>
      <c r="F1024" s="4">
        <f>F1029+F1081+F1025+F1076</f>
        <v>54095.200399999994</v>
      </c>
      <c r="G1024" s="4">
        <f t="shared" ref="G1024" si="513">G1029+G1081+G1025+G1076</f>
        <v>53888.608500000002</v>
      </c>
      <c r="H1024" s="4">
        <f t="shared" si="491"/>
        <v>99.618095693384305</v>
      </c>
      <c r="I1024" s="22"/>
      <c r="J1024" s="22"/>
    </row>
    <row r="1025" spans="1:10" s="210" customFormat="1" ht="47.25" hidden="1" x14ac:dyDescent="0.25">
      <c r="A1025" s="318" t="s">
        <v>1169</v>
      </c>
      <c r="B1025" s="319" t="s">
        <v>506</v>
      </c>
      <c r="C1025" s="319" t="s">
        <v>133</v>
      </c>
      <c r="D1025" s="319" t="s">
        <v>1114</v>
      </c>
      <c r="E1025" s="347"/>
      <c r="F1025" s="4">
        <f>F1026</f>
        <v>0</v>
      </c>
      <c r="G1025" s="4">
        <f t="shared" ref="G1025:G1027" si="514">G1026</f>
        <v>0</v>
      </c>
      <c r="H1025" s="4" t="e">
        <f t="shared" si="491"/>
        <v>#DIV/0!</v>
      </c>
      <c r="I1025" s="22"/>
      <c r="J1025" s="22"/>
    </row>
    <row r="1026" spans="1:10" s="210" customFormat="1" ht="47.25" hidden="1" x14ac:dyDescent="0.25">
      <c r="A1026" s="349" t="s">
        <v>1494</v>
      </c>
      <c r="B1026" s="347" t="s">
        <v>506</v>
      </c>
      <c r="C1026" s="347" t="s">
        <v>133</v>
      </c>
      <c r="D1026" s="347" t="s">
        <v>1493</v>
      </c>
      <c r="E1026" s="347"/>
      <c r="F1026" s="337">
        <f>F1027</f>
        <v>0</v>
      </c>
      <c r="G1026" s="337">
        <f t="shared" si="514"/>
        <v>0</v>
      </c>
      <c r="H1026" s="4" t="e">
        <f t="shared" si="491"/>
        <v>#DIV/0!</v>
      </c>
      <c r="I1026" s="22"/>
      <c r="J1026" s="22"/>
    </row>
    <row r="1027" spans="1:10" s="210" customFormat="1" ht="31.5" hidden="1" x14ac:dyDescent="0.25">
      <c r="A1027" s="349" t="s">
        <v>146</v>
      </c>
      <c r="B1027" s="347" t="s">
        <v>506</v>
      </c>
      <c r="C1027" s="347" t="s">
        <v>133</v>
      </c>
      <c r="D1027" s="347" t="s">
        <v>1493</v>
      </c>
      <c r="E1027" s="347" t="s">
        <v>147</v>
      </c>
      <c r="F1027" s="337">
        <f>F1028</f>
        <v>0</v>
      </c>
      <c r="G1027" s="337">
        <f t="shared" si="514"/>
        <v>0</v>
      </c>
      <c r="H1027" s="4" t="e">
        <f t="shared" si="491"/>
        <v>#DIV/0!</v>
      </c>
      <c r="I1027" s="22"/>
      <c r="J1027" s="22"/>
    </row>
    <row r="1028" spans="1:10" s="210" customFormat="1" ht="47.25" hidden="1" x14ac:dyDescent="0.25">
      <c r="A1028" s="349" t="s">
        <v>148</v>
      </c>
      <c r="B1028" s="347" t="s">
        <v>506</v>
      </c>
      <c r="C1028" s="347" t="s">
        <v>133</v>
      </c>
      <c r="D1028" s="347" t="s">
        <v>1493</v>
      </c>
      <c r="E1028" s="347" t="s">
        <v>149</v>
      </c>
      <c r="F1028" s="337">
        <f>'Пр.4 ведом.20'!G862</f>
        <v>0</v>
      </c>
      <c r="G1028" s="337">
        <f>'Пр.4 ведом.20'!H862</f>
        <v>0</v>
      </c>
      <c r="H1028" s="4" t="e">
        <f t="shared" si="491"/>
        <v>#DIV/0!</v>
      </c>
      <c r="I1028" s="22"/>
      <c r="J1028" s="22"/>
    </row>
    <row r="1029" spans="1:10" ht="47.25" x14ac:dyDescent="0.25">
      <c r="A1029" s="318" t="s">
        <v>496</v>
      </c>
      <c r="B1029" s="319" t="s">
        <v>506</v>
      </c>
      <c r="C1029" s="319" t="s">
        <v>133</v>
      </c>
      <c r="D1029" s="319" t="s">
        <v>497</v>
      </c>
      <c r="E1029" s="319"/>
      <c r="F1029" s="4">
        <f t="shared" ref="F1029:G1029" si="515">F1030</f>
        <v>53494.700399999994</v>
      </c>
      <c r="G1029" s="4">
        <f t="shared" si="515"/>
        <v>53312.767500000002</v>
      </c>
      <c r="H1029" s="4">
        <f t="shared" si="491"/>
        <v>99.6599048155432</v>
      </c>
    </row>
    <row r="1030" spans="1:10" ht="47.25" x14ac:dyDescent="0.25">
      <c r="A1030" s="318" t="s">
        <v>508</v>
      </c>
      <c r="B1030" s="319" t="s">
        <v>506</v>
      </c>
      <c r="C1030" s="319" t="s">
        <v>133</v>
      </c>
      <c r="D1030" s="319" t="s">
        <v>509</v>
      </c>
      <c r="E1030" s="319"/>
      <c r="F1030" s="4">
        <f>F1031+F1041+F1051+F1058+F1065+F1069</f>
        <v>53494.700399999994</v>
      </c>
      <c r="G1030" s="4">
        <f t="shared" ref="G1030" si="516">G1031+G1041+G1051+G1058+G1065+G1069</f>
        <v>53312.767500000002</v>
      </c>
      <c r="H1030" s="4">
        <f t="shared" si="491"/>
        <v>99.6599048155432</v>
      </c>
    </row>
    <row r="1031" spans="1:10" ht="31.5" x14ac:dyDescent="0.25">
      <c r="A1031" s="318" t="s">
        <v>1026</v>
      </c>
      <c r="B1031" s="319" t="s">
        <v>506</v>
      </c>
      <c r="C1031" s="319" t="s">
        <v>133</v>
      </c>
      <c r="D1031" s="319" t="s">
        <v>1059</v>
      </c>
      <c r="E1031" s="319"/>
      <c r="F1031" s="4">
        <f>F1032+F1035+F1038</f>
        <v>45686.369999999995</v>
      </c>
      <c r="G1031" s="4">
        <f t="shared" ref="G1031" si="517">G1032+G1035+G1038</f>
        <v>45647.287510000002</v>
      </c>
      <c r="H1031" s="4">
        <f t="shared" si="491"/>
        <v>99.914454814422783</v>
      </c>
    </row>
    <row r="1032" spans="1:10" ht="47.25" x14ac:dyDescent="0.25">
      <c r="A1032" s="349" t="s">
        <v>835</v>
      </c>
      <c r="B1032" s="347" t="s">
        <v>506</v>
      </c>
      <c r="C1032" s="347" t="s">
        <v>133</v>
      </c>
      <c r="D1032" s="347" t="s">
        <v>1069</v>
      </c>
      <c r="E1032" s="347"/>
      <c r="F1032" s="337">
        <f>F1033</f>
        <v>12845.420000000002</v>
      </c>
      <c r="G1032" s="337">
        <f t="shared" ref="G1032:G1033" si="518">G1033</f>
        <v>12832.99034</v>
      </c>
      <c r="H1032" s="337">
        <f t="shared" si="491"/>
        <v>99.903236639985295</v>
      </c>
    </row>
    <row r="1033" spans="1:10" ht="31.5" x14ac:dyDescent="0.25">
      <c r="A1033" s="349" t="s">
        <v>287</v>
      </c>
      <c r="B1033" s="347" t="s">
        <v>506</v>
      </c>
      <c r="C1033" s="347" t="s">
        <v>133</v>
      </c>
      <c r="D1033" s="347" t="s">
        <v>1069</v>
      </c>
      <c r="E1033" s="347" t="s">
        <v>288</v>
      </c>
      <c r="F1033" s="337">
        <f>F1034</f>
        <v>12845.420000000002</v>
      </c>
      <c r="G1033" s="337">
        <f t="shared" si="518"/>
        <v>12832.99034</v>
      </c>
      <c r="H1033" s="337">
        <f t="shared" ref="H1033:H1096" si="519">G1033/F1033*100</f>
        <v>99.903236639985295</v>
      </c>
    </row>
    <row r="1034" spans="1:10" ht="15.75" x14ac:dyDescent="0.25">
      <c r="A1034" s="349" t="s">
        <v>289</v>
      </c>
      <c r="B1034" s="347" t="s">
        <v>506</v>
      </c>
      <c r="C1034" s="347" t="s">
        <v>133</v>
      </c>
      <c r="D1034" s="347" t="s">
        <v>1069</v>
      </c>
      <c r="E1034" s="347" t="s">
        <v>290</v>
      </c>
      <c r="F1034" s="337">
        <f>'Пр.4 ведом.20'!G868</f>
        <v>12845.420000000002</v>
      </c>
      <c r="G1034" s="337">
        <f>'Пр.4 ведом.20'!H868</f>
        <v>12832.99034</v>
      </c>
      <c r="H1034" s="337">
        <f t="shared" si="519"/>
        <v>99.903236639985295</v>
      </c>
    </row>
    <row r="1035" spans="1:10" ht="47.25" x14ac:dyDescent="0.25">
      <c r="A1035" s="349" t="s">
        <v>856</v>
      </c>
      <c r="B1035" s="347" t="s">
        <v>506</v>
      </c>
      <c r="C1035" s="347" t="s">
        <v>133</v>
      </c>
      <c r="D1035" s="347" t="s">
        <v>1070</v>
      </c>
      <c r="E1035" s="347"/>
      <c r="F1035" s="337">
        <f>F1036</f>
        <v>14212.149999999998</v>
      </c>
      <c r="G1035" s="337">
        <f t="shared" ref="G1035:G1036" si="520">G1036</f>
        <v>14185.497230000001</v>
      </c>
      <c r="H1035" s="337">
        <f t="shared" si="519"/>
        <v>99.812464897992243</v>
      </c>
    </row>
    <row r="1036" spans="1:10" ht="31.5" x14ac:dyDescent="0.25">
      <c r="A1036" s="349" t="s">
        <v>287</v>
      </c>
      <c r="B1036" s="347" t="s">
        <v>506</v>
      </c>
      <c r="C1036" s="347" t="s">
        <v>133</v>
      </c>
      <c r="D1036" s="347" t="s">
        <v>1070</v>
      </c>
      <c r="E1036" s="347" t="s">
        <v>288</v>
      </c>
      <c r="F1036" s="337">
        <f>F1037</f>
        <v>14212.149999999998</v>
      </c>
      <c r="G1036" s="337">
        <f t="shared" si="520"/>
        <v>14185.497230000001</v>
      </c>
      <c r="H1036" s="337">
        <f t="shared" si="519"/>
        <v>99.812464897992243</v>
      </c>
    </row>
    <row r="1037" spans="1:10" ht="15.75" x14ac:dyDescent="0.25">
      <c r="A1037" s="349" t="s">
        <v>289</v>
      </c>
      <c r="B1037" s="347" t="s">
        <v>506</v>
      </c>
      <c r="C1037" s="347" t="s">
        <v>133</v>
      </c>
      <c r="D1037" s="347" t="s">
        <v>1070</v>
      </c>
      <c r="E1037" s="347" t="s">
        <v>290</v>
      </c>
      <c r="F1037" s="337">
        <f>'Пр.4 ведом.20'!G871</f>
        <v>14212.149999999998</v>
      </c>
      <c r="G1037" s="337">
        <f>'Пр.4 ведом.20'!H871</f>
        <v>14185.497230000001</v>
      </c>
      <c r="H1037" s="337">
        <f t="shared" si="519"/>
        <v>99.812464897992243</v>
      </c>
    </row>
    <row r="1038" spans="1:10" ht="47.25" x14ac:dyDescent="0.25">
      <c r="A1038" s="349" t="s">
        <v>857</v>
      </c>
      <c r="B1038" s="347" t="s">
        <v>506</v>
      </c>
      <c r="C1038" s="347" t="s">
        <v>133</v>
      </c>
      <c r="D1038" s="347" t="s">
        <v>1071</v>
      </c>
      <c r="E1038" s="347"/>
      <c r="F1038" s="337">
        <f>F1039</f>
        <v>18628.8</v>
      </c>
      <c r="G1038" s="337">
        <f t="shared" ref="G1038:G1039" si="521">G1039</f>
        <v>18628.799940000001</v>
      </c>
      <c r="H1038" s="337">
        <f t="shared" si="519"/>
        <v>99.999999677918069</v>
      </c>
    </row>
    <row r="1039" spans="1:10" ht="31.5" x14ac:dyDescent="0.25">
      <c r="A1039" s="349" t="s">
        <v>287</v>
      </c>
      <c r="B1039" s="347" t="s">
        <v>506</v>
      </c>
      <c r="C1039" s="347" t="s">
        <v>133</v>
      </c>
      <c r="D1039" s="347" t="s">
        <v>1071</v>
      </c>
      <c r="E1039" s="347" t="s">
        <v>288</v>
      </c>
      <c r="F1039" s="337">
        <f>F1040</f>
        <v>18628.8</v>
      </c>
      <c r="G1039" s="337">
        <f t="shared" si="521"/>
        <v>18628.799940000001</v>
      </c>
      <c r="H1039" s="337">
        <f t="shared" si="519"/>
        <v>99.999999677918069</v>
      </c>
    </row>
    <row r="1040" spans="1:10" ht="15.75" x14ac:dyDescent="0.25">
      <c r="A1040" s="349" t="s">
        <v>289</v>
      </c>
      <c r="B1040" s="347" t="s">
        <v>506</v>
      </c>
      <c r="C1040" s="347" t="s">
        <v>133</v>
      </c>
      <c r="D1040" s="347" t="s">
        <v>1071</v>
      </c>
      <c r="E1040" s="347" t="s">
        <v>290</v>
      </c>
      <c r="F1040" s="337">
        <f>'Пр.4 ведом.20'!G874</f>
        <v>18628.8</v>
      </c>
      <c r="G1040" s="337">
        <f>'Пр.4 ведом.20'!H874</f>
        <v>18628.799940000001</v>
      </c>
      <c r="H1040" s="337">
        <f t="shared" si="519"/>
        <v>99.999999677918069</v>
      </c>
    </row>
    <row r="1041" spans="1:8" ht="31.5" x14ac:dyDescent="0.25">
      <c r="A1041" s="318" t="s">
        <v>1072</v>
      </c>
      <c r="B1041" s="319" t="s">
        <v>506</v>
      </c>
      <c r="C1041" s="319" t="s">
        <v>133</v>
      </c>
      <c r="D1041" s="319" t="s">
        <v>1073</v>
      </c>
      <c r="E1041" s="319"/>
      <c r="F1041" s="4">
        <f>F1042+F1045+F1048</f>
        <v>288</v>
      </c>
      <c r="G1041" s="4">
        <f t="shared" ref="G1041" si="522">G1042+G1045+G1048</f>
        <v>288</v>
      </c>
      <c r="H1041" s="4">
        <f t="shared" si="519"/>
        <v>100</v>
      </c>
    </row>
    <row r="1042" spans="1:8" ht="31.5" x14ac:dyDescent="0.25">
      <c r="A1042" s="349" t="s">
        <v>293</v>
      </c>
      <c r="B1042" s="347" t="s">
        <v>506</v>
      </c>
      <c r="C1042" s="347" t="s">
        <v>133</v>
      </c>
      <c r="D1042" s="347" t="s">
        <v>1077</v>
      </c>
      <c r="E1042" s="347"/>
      <c r="F1042" s="337">
        <f t="shared" ref="F1042:G1042" si="523">F1043</f>
        <v>252</v>
      </c>
      <c r="G1042" s="337">
        <f t="shared" si="523"/>
        <v>252</v>
      </c>
      <c r="H1042" s="337">
        <f t="shared" si="519"/>
        <v>100</v>
      </c>
    </row>
    <row r="1043" spans="1:8" ht="31.5" x14ac:dyDescent="0.25">
      <c r="A1043" s="349" t="s">
        <v>287</v>
      </c>
      <c r="B1043" s="347" t="s">
        <v>506</v>
      </c>
      <c r="C1043" s="347" t="s">
        <v>133</v>
      </c>
      <c r="D1043" s="347" t="s">
        <v>1077</v>
      </c>
      <c r="E1043" s="347" t="s">
        <v>288</v>
      </c>
      <c r="F1043" s="337">
        <f>'Пр.4 ведом.20'!G878</f>
        <v>252</v>
      </c>
      <c r="G1043" s="337">
        <f>'Пр.4 ведом.20'!H878</f>
        <v>252</v>
      </c>
      <c r="H1043" s="337">
        <f t="shared" si="519"/>
        <v>100</v>
      </c>
    </row>
    <row r="1044" spans="1:8" ht="20.25" customHeight="1" x14ac:dyDescent="0.25">
      <c r="A1044" s="349" t="s">
        <v>289</v>
      </c>
      <c r="B1044" s="347" t="s">
        <v>506</v>
      </c>
      <c r="C1044" s="347" t="s">
        <v>133</v>
      </c>
      <c r="D1044" s="347" t="s">
        <v>1077</v>
      </c>
      <c r="E1044" s="347" t="s">
        <v>290</v>
      </c>
      <c r="F1044" s="337">
        <f>'Пр.4 ведом.20'!G878</f>
        <v>252</v>
      </c>
      <c r="G1044" s="337">
        <f>'Пр.4 ведом.20'!H878</f>
        <v>252</v>
      </c>
      <c r="H1044" s="337">
        <f t="shared" si="519"/>
        <v>100</v>
      </c>
    </row>
    <row r="1045" spans="1:8" ht="33" hidden="1" customHeight="1" x14ac:dyDescent="0.25">
      <c r="A1045" s="349" t="s">
        <v>295</v>
      </c>
      <c r="B1045" s="347" t="s">
        <v>506</v>
      </c>
      <c r="C1045" s="347" t="s">
        <v>133</v>
      </c>
      <c r="D1045" s="347" t="s">
        <v>1078</v>
      </c>
      <c r="E1045" s="347"/>
      <c r="F1045" s="337">
        <f t="shared" ref="F1045:G1045" si="524">F1046</f>
        <v>0</v>
      </c>
      <c r="G1045" s="337">
        <f t="shared" si="524"/>
        <v>0</v>
      </c>
      <c r="H1045" s="337" t="e">
        <f t="shared" si="519"/>
        <v>#DIV/0!</v>
      </c>
    </row>
    <row r="1046" spans="1:8" ht="37.5" hidden="1" customHeight="1" x14ac:dyDescent="0.25">
      <c r="A1046" s="349" t="s">
        <v>287</v>
      </c>
      <c r="B1046" s="347" t="s">
        <v>506</v>
      </c>
      <c r="C1046" s="347" t="s">
        <v>133</v>
      </c>
      <c r="D1046" s="347" t="s">
        <v>1078</v>
      </c>
      <c r="E1046" s="347" t="s">
        <v>288</v>
      </c>
      <c r="F1046" s="337">
        <f>'Пр.4 ведом.20'!G881</f>
        <v>0</v>
      </c>
      <c r="G1046" s="337">
        <f>'Пр.4 ведом.20'!H881</f>
        <v>0</v>
      </c>
      <c r="H1046" s="337" t="e">
        <f t="shared" si="519"/>
        <v>#DIV/0!</v>
      </c>
    </row>
    <row r="1047" spans="1:8" s="210" customFormat="1" ht="15.75" hidden="1" customHeight="1" x14ac:dyDescent="0.25">
      <c r="A1047" s="349" t="s">
        <v>289</v>
      </c>
      <c r="B1047" s="347" t="s">
        <v>506</v>
      </c>
      <c r="C1047" s="347" t="s">
        <v>133</v>
      </c>
      <c r="D1047" s="347" t="s">
        <v>1078</v>
      </c>
      <c r="E1047" s="347" t="s">
        <v>290</v>
      </c>
      <c r="F1047" s="337">
        <f>'Пр.4 ведом.20'!G881</f>
        <v>0</v>
      </c>
      <c r="G1047" s="337">
        <f>'Пр.4 ведом.20'!H881</f>
        <v>0</v>
      </c>
      <c r="H1047" s="337" t="e">
        <f t="shared" si="519"/>
        <v>#DIV/0!</v>
      </c>
    </row>
    <row r="1048" spans="1:8" s="210" customFormat="1" ht="20.25" customHeight="1" x14ac:dyDescent="0.25">
      <c r="A1048" s="349" t="s">
        <v>874</v>
      </c>
      <c r="B1048" s="347" t="s">
        <v>506</v>
      </c>
      <c r="C1048" s="347" t="s">
        <v>133</v>
      </c>
      <c r="D1048" s="347" t="s">
        <v>1079</v>
      </c>
      <c r="E1048" s="347"/>
      <c r="F1048" s="337">
        <f>F1049</f>
        <v>36</v>
      </c>
      <c r="G1048" s="337">
        <f t="shared" ref="G1048" si="525">G1049</f>
        <v>36</v>
      </c>
      <c r="H1048" s="337">
        <f t="shared" si="519"/>
        <v>100</v>
      </c>
    </row>
    <row r="1049" spans="1:8" s="210" customFormat="1" ht="33" customHeight="1" x14ac:dyDescent="0.25">
      <c r="A1049" s="349" t="s">
        <v>287</v>
      </c>
      <c r="B1049" s="347" t="s">
        <v>506</v>
      </c>
      <c r="C1049" s="347" t="s">
        <v>133</v>
      </c>
      <c r="D1049" s="347" t="s">
        <v>1079</v>
      </c>
      <c r="E1049" s="347" t="s">
        <v>288</v>
      </c>
      <c r="F1049" s="337">
        <f>'Пр.4 ведом.20'!G884</f>
        <v>36</v>
      </c>
      <c r="G1049" s="337">
        <f>'Пр.4 ведом.20'!H884</f>
        <v>36</v>
      </c>
      <c r="H1049" s="337">
        <f t="shared" si="519"/>
        <v>100</v>
      </c>
    </row>
    <row r="1050" spans="1:8" ht="20.25" customHeight="1" x14ac:dyDescent="0.25">
      <c r="A1050" s="349" t="s">
        <v>289</v>
      </c>
      <c r="B1050" s="347" t="s">
        <v>506</v>
      </c>
      <c r="C1050" s="347" t="s">
        <v>133</v>
      </c>
      <c r="D1050" s="347" t="s">
        <v>1079</v>
      </c>
      <c r="E1050" s="347" t="s">
        <v>290</v>
      </c>
      <c r="F1050" s="337">
        <f>'Пр.4 ведом.20'!G884</f>
        <v>36</v>
      </c>
      <c r="G1050" s="337">
        <f>'Пр.4 ведом.20'!H884</f>
        <v>36</v>
      </c>
      <c r="H1050" s="337">
        <f t="shared" si="519"/>
        <v>100</v>
      </c>
    </row>
    <row r="1051" spans="1:8" ht="47.25" customHeight="1" x14ac:dyDescent="0.25">
      <c r="A1051" s="318" t="s">
        <v>1074</v>
      </c>
      <c r="B1051" s="319" t="s">
        <v>506</v>
      </c>
      <c r="C1051" s="319" t="s">
        <v>133</v>
      </c>
      <c r="D1051" s="319" t="s">
        <v>1076</v>
      </c>
      <c r="E1051" s="319"/>
      <c r="F1051" s="4">
        <f>F1052+F1055</f>
        <v>1236.0999999999999</v>
      </c>
      <c r="G1051" s="4">
        <f t="shared" ref="G1051" si="526">G1052+G1055</f>
        <v>1199.2900999999999</v>
      </c>
      <c r="H1051" s="4">
        <f t="shared" si="519"/>
        <v>97.022093681740955</v>
      </c>
    </row>
    <row r="1052" spans="1:8" ht="39.200000000000003" hidden="1" customHeight="1" x14ac:dyDescent="0.25">
      <c r="A1052" s="349" t="s">
        <v>815</v>
      </c>
      <c r="B1052" s="347" t="s">
        <v>506</v>
      </c>
      <c r="C1052" s="347" t="s">
        <v>133</v>
      </c>
      <c r="D1052" s="347" t="s">
        <v>1080</v>
      </c>
      <c r="E1052" s="347"/>
      <c r="F1052" s="337">
        <f>'Пр.4 ведом.20'!G888</f>
        <v>0</v>
      </c>
      <c r="G1052" s="337">
        <f>'Пр.4 ведом.20'!H888</f>
        <v>0</v>
      </c>
      <c r="H1052" s="337" t="e">
        <f t="shared" si="519"/>
        <v>#DIV/0!</v>
      </c>
    </row>
    <row r="1053" spans="1:8" ht="40.700000000000003" hidden="1" customHeight="1" x14ac:dyDescent="0.25">
      <c r="A1053" s="349" t="s">
        <v>287</v>
      </c>
      <c r="B1053" s="347" t="s">
        <v>506</v>
      </c>
      <c r="C1053" s="347" t="s">
        <v>133</v>
      </c>
      <c r="D1053" s="347" t="s">
        <v>1080</v>
      </c>
      <c r="E1053" s="347" t="s">
        <v>288</v>
      </c>
      <c r="F1053" s="337">
        <f t="shared" ref="F1053:G1053" si="527">F1054</f>
        <v>0</v>
      </c>
      <c r="G1053" s="337">
        <f t="shared" si="527"/>
        <v>0</v>
      </c>
      <c r="H1053" s="337" t="e">
        <f t="shared" si="519"/>
        <v>#DIV/0!</v>
      </c>
    </row>
    <row r="1054" spans="1:8" ht="15.75" hidden="1" customHeight="1" x14ac:dyDescent="0.25">
      <c r="A1054" s="349" t="s">
        <v>289</v>
      </c>
      <c r="B1054" s="347" t="s">
        <v>506</v>
      </c>
      <c r="C1054" s="347" t="s">
        <v>133</v>
      </c>
      <c r="D1054" s="347" t="s">
        <v>1080</v>
      </c>
      <c r="E1054" s="347" t="s">
        <v>290</v>
      </c>
      <c r="F1054" s="337">
        <f>'Пр.4 ведом.20'!G888</f>
        <v>0</v>
      </c>
      <c r="G1054" s="337">
        <f>'Пр.4 ведом.20'!H888</f>
        <v>0</v>
      </c>
      <c r="H1054" s="337" t="e">
        <f t="shared" si="519"/>
        <v>#DIV/0!</v>
      </c>
    </row>
    <row r="1055" spans="1:8" ht="34.5" customHeight="1" x14ac:dyDescent="0.25">
      <c r="A1055" s="45" t="s">
        <v>785</v>
      </c>
      <c r="B1055" s="347" t="s">
        <v>506</v>
      </c>
      <c r="C1055" s="347" t="s">
        <v>133</v>
      </c>
      <c r="D1055" s="347" t="s">
        <v>1081</v>
      </c>
      <c r="E1055" s="347"/>
      <c r="F1055" s="337">
        <f>'Пр.4 ведом.20'!G891</f>
        <v>1236.0999999999999</v>
      </c>
      <c r="G1055" s="337">
        <f>'Пр.4 ведом.20'!H891</f>
        <v>1199.2900999999999</v>
      </c>
      <c r="H1055" s="337">
        <f t="shared" si="519"/>
        <v>97.022093681740955</v>
      </c>
    </row>
    <row r="1056" spans="1:8" ht="39.75" customHeight="1" x14ac:dyDescent="0.25">
      <c r="A1056" s="31" t="s">
        <v>287</v>
      </c>
      <c r="B1056" s="347" t="s">
        <v>506</v>
      </c>
      <c r="C1056" s="347" t="s">
        <v>133</v>
      </c>
      <c r="D1056" s="347" t="s">
        <v>1081</v>
      </c>
      <c r="E1056" s="347" t="s">
        <v>288</v>
      </c>
      <c r="F1056" s="337">
        <f>F1057</f>
        <v>1236.0999999999999</v>
      </c>
      <c r="G1056" s="337">
        <f t="shared" ref="G1056" si="528">G1057</f>
        <v>1199.2900999999999</v>
      </c>
      <c r="H1056" s="337">
        <f t="shared" si="519"/>
        <v>97.022093681740955</v>
      </c>
    </row>
    <row r="1057" spans="1:8" ht="15.75" x14ac:dyDescent="0.25">
      <c r="A1057" s="31" t="s">
        <v>289</v>
      </c>
      <c r="B1057" s="347" t="s">
        <v>506</v>
      </c>
      <c r="C1057" s="347" t="s">
        <v>133</v>
      </c>
      <c r="D1057" s="347" t="s">
        <v>1081</v>
      </c>
      <c r="E1057" s="347" t="s">
        <v>290</v>
      </c>
      <c r="F1057" s="337">
        <f>'Пр.4 ведом.20'!G891</f>
        <v>1236.0999999999999</v>
      </c>
      <c r="G1057" s="337">
        <f>'Пр.4 ведом.20'!H891</f>
        <v>1199.2900999999999</v>
      </c>
      <c r="H1057" s="337">
        <f t="shared" si="519"/>
        <v>97.022093681740955</v>
      </c>
    </row>
    <row r="1058" spans="1:8" ht="47.25" x14ac:dyDescent="0.25">
      <c r="A1058" s="318" t="s">
        <v>969</v>
      </c>
      <c r="B1058" s="319" t="s">
        <v>506</v>
      </c>
      <c r="C1058" s="319" t="s">
        <v>133</v>
      </c>
      <c r="D1058" s="319" t="s">
        <v>1082</v>
      </c>
      <c r="E1058" s="319"/>
      <c r="F1058" s="4">
        <f>F1062+F1059</f>
        <v>813.5</v>
      </c>
      <c r="G1058" s="4">
        <f t="shared" ref="G1058" si="529">G1062+G1059</f>
        <v>707.47211000000004</v>
      </c>
      <c r="H1058" s="4">
        <f t="shared" si="519"/>
        <v>86.96645482483099</v>
      </c>
    </row>
    <row r="1059" spans="1:8" s="309" customFormat="1" ht="94.5" x14ac:dyDescent="0.25">
      <c r="A1059" s="31" t="s">
        <v>308</v>
      </c>
      <c r="B1059" s="347" t="s">
        <v>506</v>
      </c>
      <c r="C1059" s="347" t="s">
        <v>133</v>
      </c>
      <c r="D1059" s="347" t="s">
        <v>1509</v>
      </c>
      <c r="E1059" s="347"/>
      <c r="F1059" s="337">
        <f>F1060</f>
        <v>813.5</v>
      </c>
      <c r="G1059" s="337">
        <f t="shared" ref="G1059:G1060" si="530">G1060</f>
        <v>707.47211000000004</v>
      </c>
      <c r="H1059" s="337">
        <f t="shared" si="519"/>
        <v>86.96645482483099</v>
      </c>
    </row>
    <row r="1060" spans="1:8" s="309" customFormat="1" ht="31.5" x14ac:dyDescent="0.25">
      <c r="A1060" s="349" t="s">
        <v>287</v>
      </c>
      <c r="B1060" s="347" t="s">
        <v>506</v>
      </c>
      <c r="C1060" s="347" t="s">
        <v>133</v>
      </c>
      <c r="D1060" s="347" t="s">
        <v>1509</v>
      </c>
      <c r="E1060" s="347" t="s">
        <v>288</v>
      </c>
      <c r="F1060" s="337">
        <f>F1061</f>
        <v>813.5</v>
      </c>
      <c r="G1060" s="337">
        <f t="shared" si="530"/>
        <v>707.47211000000004</v>
      </c>
      <c r="H1060" s="337">
        <f t="shared" si="519"/>
        <v>86.96645482483099</v>
      </c>
    </row>
    <row r="1061" spans="1:8" s="309" customFormat="1" ht="15.75" x14ac:dyDescent="0.25">
      <c r="A1061" s="349" t="s">
        <v>289</v>
      </c>
      <c r="B1061" s="347" t="s">
        <v>506</v>
      </c>
      <c r="C1061" s="347" t="s">
        <v>133</v>
      </c>
      <c r="D1061" s="347" t="s">
        <v>1509</v>
      </c>
      <c r="E1061" s="347" t="s">
        <v>290</v>
      </c>
      <c r="F1061" s="337">
        <f>'Пр.4 ведом.20'!G895</f>
        <v>813.5</v>
      </c>
      <c r="G1061" s="337">
        <f>'Пр.4 ведом.20'!H895</f>
        <v>707.47211000000004</v>
      </c>
      <c r="H1061" s="337">
        <f t="shared" si="519"/>
        <v>86.96645482483099</v>
      </c>
    </row>
    <row r="1062" spans="1:8" ht="103.7" hidden="1" customHeight="1" x14ac:dyDescent="0.25">
      <c r="A1062" s="31" t="s">
        <v>479</v>
      </c>
      <c r="B1062" s="347" t="s">
        <v>506</v>
      </c>
      <c r="C1062" s="347" t="s">
        <v>133</v>
      </c>
      <c r="D1062" s="347" t="s">
        <v>1083</v>
      </c>
      <c r="E1062" s="347"/>
      <c r="F1062" s="337">
        <f>F1063</f>
        <v>0</v>
      </c>
      <c r="G1062" s="337">
        <f t="shared" ref="G1062" si="531">G1063</f>
        <v>0</v>
      </c>
      <c r="H1062" s="337" t="e">
        <f t="shared" si="519"/>
        <v>#DIV/0!</v>
      </c>
    </row>
    <row r="1063" spans="1:8" ht="31.5" hidden="1" x14ac:dyDescent="0.25">
      <c r="A1063" s="349" t="s">
        <v>287</v>
      </c>
      <c r="B1063" s="347" t="s">
        <v>506</v>
      </c>
      <c r="C1063" s="347" t="s">
        <v>133</v>
      </c>
      <c r="D1063" s="347" t="s">
        <v>1083</v>
      </c>
      <c r="E1063" s="347" t="s">
        <v>288</v>
      </c>
      <c r="F1063" s="337">
        <f t="shared" ref="F1063:G1081" si="532">F1064</f>
        <v>0</v>
      </c>
      <c r="G1063" s="337">
        <f t="shared" si="532"/>
        <v>0</v>
      </c>
      <c r="H1063" s="337" t="e">
        <f t="shared" si="519"/>
        <v>#DIV/0!</v>
      </c>
    </row>
    <row r="1064" spans="1:8" ht="15.75" hidden="1" x14ac:dyDescent="0.25">
      <c r="A1064" s="349" t="s">
        <v>289</v>
      </c>
      <c r="B1064" s="347" t="s">
        <v>506</v>
      </c>
      <c r="C1064" s="347" t="s">
        <v>133</v>
      </c>
      <c r="D1064" s="347" t="s">
        <v>1083</v>
      </c>
      <c r="E1064" s="347" t="s">
        <v>290</v>
      </c>
      <c r="F1064" s="337">
        <f>'Пр.4 ведом.20'!G898</f>
        <v>0</v>
      </c>
      <c r="G1064" s="337">
        <f>'Пр.4 ведом.20'!H898</f>
        <v>0</v>
      </c>
      <c r="H1064" s="337" t="e">
        <f t="shared" si="519"/>
        <v>#DIV/0!</v>
      </c>
    </row>
    <row r="1065" spans="1:8" s="210" customFormat="1" ht="63" x14ac:dyDescent="0.25">
      <c r="A1065" s="318" t="s">
        <v>1474</v>
      </c>
      <c r="B1065" s="319" t="s">
        <v>506</v>
      </c>
      <c r="C1065" s="319" t="s">
        <v>133</v>
      </c>
      <c r="D1065" s="319" t="s">
        <v>1471</v>
      </c>
      <c r="E1065" s="319"/>
      <c r="F1065" s="4">
        <f>F1066</f>
        <v>439.56040000000002</v>
      </c>
      <c r="G1065" s="4">
        <f t="shared" ref="G1065:G1067" si="533">G1066</f>
        <v>439.56</v>
      </c>
      <c r="H1065" s="4">
        <f t="shared" si="519"/>
        <v>99.999908999991803</v>
      </c>
    </row>
    <row r="1066" spans="1:8" s="210" customFormat="1" ht="63" x14ac:dyDescent="0.25">
      <c r="A1066" s="349" t="s">
        <v>1476</v>
      </c>
      <c r="B1066" s="347" t="s">
        <v>506</v>
      </c>
      <c r="C1066" s="347" t="s">
        <v>133</v>
      </c>
      <c r="D1066" s="347" t="s">
        <v>1470</v>
      </c>
      <c r="E1066" s="347"/>
      <c r="F1066" s="337">
        <f>F1067</f>
        <v>439.56040000000002</v>
      </c>
      <c r="G1066" s="337">
        <f t="shared" si="533"/>
        <v>439.56</v>
      </c>
      <c r="H1066" s="337">
        <f t="shared" si="519"/>
        <v>99.999908999991803</v>
      </c>
    </row>
    <row r="1067" spans="1:8" s="210" customFormat="1" ht="31.5" x14ac:dyDescent="0.25">
      <c r="A1067" s="349" t="s">
        <v>287</v>
      </c>
      <c r="B1067" s="347" t="s">
        <v>506</v>
      </c>
      <c r="C1067" s="347" t="s">
        <v>133</v>
      </c>
      <c r="D1067" s="347" t="s">
        <v>1470</v>
      </c>
      <c r="E1067" s="347" t="s">
        <v>288</v>
      </c>
      <c r="F1067" s="337">
        <f>F1068</f>
        <v>439.56040000000002</v>
      </c>
      <c r="G1067" s="337">
        <f t="shared" si="533"/>
        <v>439.56</v>
      </c>
      <c r="H1067" s="337">
        <f t="shared" si="519"/>
        <v>99.999908999991803</v>
      </c>
    </row>
    <row r="1068" spans="1:8" s="210" customFormat="1" ht="15.75" x14ac:dyDescent="0.25">
      <c r="A1068" s="349" t="s">
        <v>289</v>
      </c>
      <c r="B1068" s="347" t="s">
        <v>506</v>
      </c>
      <c r="C1068" s="347" t="s">
        <v>133</v>
      </c>
      <c r="D1068" s="347" t="s">
        <v>1470</v>
      </c>
      <c r="E1068" s="347" t="s">
        <v>290</v>
      </c>
      <c r="F1068" s="337">
        <f>'Пр.4 ведом.20'!G902</f>
        <v>439.56040000000002</v>
      </c>
      <c r="G1068" s="337">
        <f>'Пр.4 ведом.20'!H902</f>
        <v>439.56</v>
      </c>
      <c r="H1068" s="337">
        <f t="shared" si="519"/>
        <v>99.999908999991803</v>
      </c>
    </row>
    <row r="1069" spans="1:8" s="310" customFormat="1" ht="47.25" x14ac:dyDescent="0.25">
      <c r="A1069" s="318" t="s">
        <v>1495</v>
      </c>
      <c r="B1069" s="319" t="s">
        <v>506</v>
      </c>
      <c r="C1069" s="319" t="s">
        <v>133</v>
      </c>
      <c r="D1069" s="319" t="s">
        <v>1497</v>
      </c>
      <c r="E1069" s="347"/>
      <c r="F1069" s="317">
        <f>F1070+F1073</f>
        <v>5031.17</v>
      </c>
      <c r="G1069" s="317">
        <f t="shared" ref="G1069" si="534">G1070+G1073</f>
        <v>5031.1577799999995</v>
      </c>
      <c r="H1069" s="4">
        <f t="shared" si="519"/>
        <v>99.999757114150384</v>
      </c>
    </row>
    <row r="1070" spans="1:8" s="310" customFormat="1" ht="63" x14ac:dyDescent="0.25">
      <c r="A1070" s="349" t="s">
        <v>1496</v>
      </c>
      <c r="B1070" s="347" t="s">
        <v>506</v>
      </c>
      <c r="C1070" s="347" t="s">
        <v>133</v>
      </c>
      <c r="D1070" s="347" t="s">
        <v>1498</v>
      </c>
      <c r="E1070" s="347"/>
      <c r="F1070" s="321">
        <f>F1071</f>
        <v>206.27</v>
      </c>
      <c r="G1070" s="321">
        <f t="shared" ref="G1070:G1071" si="535">G1071</f>
        <v>206.25778</v>
      </c>
      <c r="H1070" s="337">
        <f t="shared" si="519"/>
        <v>99.9940757259902</v>
      </c>
    </row>
    <row r="1071" spans="1:8" s="310" customFormat="1" ht="31.5" x14ac:dyDescent="0.25">
      <c r="A1071" s="349" t="s">
        <v>287</v>
      </c>
      <c r="B1071" s="347" t="s">
        <v>506</v>
      </c>
      <c r="C1071" s="347" t="s">
        <v>133</v>
      </c>
      <c r="D1071" s="347" t="s">
        <v>1498</v>
      </c>
      <c r="E1071" s="347" t="s">
        <v>288</v>
      </c>
      <c r="F1071" s="321">
        <f>F1072</f>
        <v>206.27</v>
      </c>
      <c r="G1071" s="321">
        <f t="shared" si="535"/>
        <v>206.25778</v>
      </c>
      <c r="H1071" s="337">
        <f t="shared" si="519"/>
        <v>99.9940757259902</v>
      </c>
    </row>
    <row r="1072" spans="1:8" s="310" customFormat="1" ht="15.75" x14ac:dyDescent="0.25">
      <c r="A1072" s="349" t="s">
        <v>289</v>
      </c>
      <c r="B1072" s="347" t="s">
        <v>506</v>
      </c>
      <c r="C1072" s="347" t="s">
        <v>133</v>
      </c>
      <c r="D1072" s="347" t="s">
        <v>1498</v>
      </c>
      <c r="E1072" s="347" t="s">
        <v>290</v>
      </c>
      <c r="F1072" s="321">
        <v>206.27</v>
      </c>
      <c r="G1072" s="321">
        <f>'Пр.4 ведом.20'!H906</f>
        <v>206.25778</v>
      </c>
      <c r="H1072" s="337">
        <f t="shared" si="519"/>
        <v>99.9940757259902</v>
      </c>
    </row>
    <row r="1073" spans="1:8" s="310" customFormat="1" ht="47.25" x14ac:dyDescent="0.25">
      <c r="A1073" s="349" t="s">
        <v>1494</v>
      </c>
      <c r="B1073" s="347" t="s">
        <v>506</v>
      </c>
      <c r="C1073" s="347" t="s">
        <v>133</v>
      </c>
      <c r="D1073" s="347" t="s">
        <v>1499</v>
      </c>
      <c r="E1073" s="347"/>
      <c r="F1073" s="321">
        <f>F1074</f>
        <v>4824.8999999999996</v>
      </c>
      <c r="G1073" s="321">
        <f t="shared" ref="G1073:G1074" si="536">G1074</f>
        <v>4824.8999999999996</v>
      </c>
      <c r="H1073" s="337">
        <f t="shared" si="519"/>
        <v>100</v>
      </c>
    </row>
    <row r="1074" spans="1:8" s="310" customFormat="1" ht="31.5" x14ac:dyDescent="0.25">
      <c r="A1074" s="349" t="s">
        <v>287</v>
      </c>
      <c r="B1074" s="347" t="s">
        <v>506</v>
      </c>
      <c r="C1074" s="347" t="s">
        <v>133</v>
      </c>
      <c r="D1074" s="347" t="s">
        <v>1499</v>
      </c>
      <c r="E1074" s="347" t="s">
        <v>288</v>
      </c>
      <c r="F1074" s="321">
        <f>F1075</f>
        <v>4824.8999999999996</v>
      </c>
      <c r="G1074" s="321">
        <f t="shared" si="536"/>
        <v>4824.8999999999996</v>
      </c>
      <c r="H1074" s="337">
        <f t="shared" si="519"/>
        <v>100</v>
      </c>
    </row>
    <row r="1075" spans="1:8" s="310" customFormat="1" ht="15.75" x14ac:dyDescent="0.25">
      <c r="A1075" s="349" t="s">
        <v>289</v>
      </c>
      <c r="B1075" s="347" t="s">
        <v>506</v>
      </c>
      <c r="C1075" s="347" t="s">
        <v>133</v>
      </c>
      <c r="D1075" s="347" t="s">
        <v>1499</v>
      </c>
      <c r="E1075" s="347" t="s">
        <v>290</v>
      </c>
      <c r="F1075" s="321">
        <v>4824.8999999999996</v>
      </c>
      <c r="G1075" s="321">
        <f>'Пр.4 ведом.20'!H909</f>
        <v>4824.8999999999996</v>
      </c>
      <c r="H1075" s="337">
        <f t="shared" si="519"/>
        <v>100</v>
      </c>
    </row>
    <row r="1076" spans="1:8" s="310" customFormat="1" ht="63" x14ac:dyDescent="0.25">
      <c r="A1076" s="34" t="s">
        <v>803</v>
      </c>
      <c r="B1076" s="319" t="s">
        <v>506</v>
      </c>
      <c r="C1076" s="319" t="s">
        <v>133</v>
      </c>
      <c r="D1076" s="319" t="s">
        <v>339</v>
      </c>
      <c r="E1076" s="347"/>
      <c r="F1076" s="317">
        <f>F1077</f>
        <v>77.400000000000006</v>
      </c>
      <c r="G1076" s="317">
        <f t="shared" ref="G1076:G1079" si="537">G1077</f>
        <v>77.400000000000006</v>
      </c>
      <c r="H1076" s="4">
        <f t="shared" si="519"/>
        <v>100</v>
      </c>
    </row>
    <row r="1077" spans="1:8" s="310" customFormat="1" ht="63" x14ac:dyDescent="0.25">
      <c r="A1077" s="34" t="s">
        <v>1160</v>
      </c>
      <c r="B1077" s="319" t="s">
        <v>506</v>
      </c>
      <c r="C1077" s="319" t="s">
        <v>133</v>
      </c>
      <c r="D1077" s="319" t="s">
        <v>1023</v>
      </c>
      <c r="E1077" s="347"/>
      <c r="F1077" s="317">
        <f>F1078</f>
        <v>77.400000000000006</v>
      </c>
      <c r="G1077" s="317">
        <f t="shared" si="537"/>
        <v>77.400000000000006</v>
      </c>
      <c r="H1077" s="4">
        <f t="shared" si="519"/>
        <v>100</v>
      </c>
    </row>
    <row r="1078" spans="1:8" s="310" customFormat="1" ht="47.25" x14ac:dyDescent="0.25">
      <c r="A1078" s="31" t="s">
        <v>1159</v>
      </c>
      <c r="B1078" s="347" t="s">
        <v>506</v>
      </c>
      <c r="C1078" s="347" t="s">
        <v>133</v>
      </c>
      <c r="D1078" s="347" t="s">
        <v>1024</v>
      </c>
      <c r="E1078" s="347"/>
      <c r="F1078" s="321">
        <f>F1079</f>
        <v>77.400000000000006</v>
      </c>
      <c r="G1078" s="321">
        <f t="shared" si="537"/>
        <v>77.400000000000006</v>
      </c>
      <c r="H1078" s="337">
        <f t="shared" si="519"/>
        <v>100</v>
      </c>
    </row>
    <row r="1079" spans="1:8" s="310" customFormat="1" ht="31.5" x14ac:dyDescent="0.25">
      <c r="A1079" s="349" t="s">
        <v>287</v>
      </c>
      <c r="B1079" s="347" t="s">
        <v>506</v>
      </c>
      <c r="C1079" s="347" t="s">
        <v>133</v>
      </c>
      <c r="D1079" s="347" t="s">
        <v>1024</v>
      </c>
      <c r="E1079" s="347" t="s">
        <v>288</v>
      </c>
      <c r="F1079" s="321">
        <f>F1080</f>
        <v>77.400000000000006</v>
      </c>
      <c r="G1079" s="321">
        <f t="shared" si="537"/>
        <v>77.400000000000006</v>
      </c>
      <c r="H1079" s="337">
        <f t="shared" si="519"/>
        <v>100</v>
      </c>
    </row>
    <row r="1080" spans="1:8" s="310" customFormat="1" ht="15.75" x14ac:dyDescent="0.25">
      <c r="A1080" s="349" t="s">
        <v>289</v>
      </c>
      <c r="B1080" s="347" t="s">
        <v>506</v>
      </c>
      <c r="C1080" s="347" t="s">
        <v>133</v>
      </c>
      <c r="D1080" s="347" t="s">
        <v>1024</v>
      </c>
      <c r="E1080" s="347" t="s">
        <v>290</v>
      </c>
      <c r="F1080" s="321">
        <f>'Пр.4 ведом.20'!G914</f>
        <v>77.400000000000006</v>
      </c>
      <c r="G1080" s="321">
        <f>'Пр.4 ведом.20'!H914</f>
        <v>77.400000000000006</v>
      </c>
      <c r="H1080" s="337">
        <f t="shared" si="519"/>
        <v>100</v>
      </c>
    </row>
    <row r="1081" spans="1:8" ht="63" x14ac:dyDescent="0.25">
      <c r="A1081" s="41" t="s">
        <v>1177</v>
      </c>
      <c r="B1081" s="319" t="s">
        <v>506</v>
      </c>
      <c r="C1081" s="319" t="s">
        <v>133</v>
      </c>
      <c r="D1081" s="319" t="s">
        <v>726</v>
      </c>
      <c r="E1081" s="228"/>
      <c r="F1081" s="4">
        <f t="shared" si="532"/>
        <v>523.1</v>
      </c>
      <c r="G1081" s="4">
        <f t="shared" si="532"/>
        <v>498.44099999999997</v>
      </c>
      <c r="H1081" s="4">
        <f t="shared" si="519"/>
        <v>95.285987382909568</v>
      </c>
    </row>
    <row r="1082" spans="1:8" ht="47.25" x14ac:dyDescent="0.25">
      <c r="A1082" s="41" t="s">
        <v>947</v>
      </c>
      <c r="B1082" s="319" t="s">
        <v>506</v>
      </c>
      <c r="C1082" s="319" t="s">
        <v>133</v>
      </c>
      <c r="D1082" s="319" t="s">
        <v>945</v>
      </c>
      <c r="E1082" s="228"/>
      <c r="F1082" s="4">
        <f>F1083</f>
        <v>523.1</v>
      </c>
      <c r="G1082" s="4">
        <f t="shared" ref="G1082:G1084" si="538">G1083</f>
        <v>498.44099999999997</v>
      </c>
      <c r="H1082" s="4">
        <f t="shared" si="519"/>
        <v>95.285987382909568</v>
      </c>
    </row>
    <row r="1083" spans="1:8" ht="47.25" x14ac:dyDescent="0.25">
      <c r="A1083" s="99" t="s">
        <v>801</v>
      </c>
      <c r="B1083" s="347" t="s">
        <v>506</v>
      </c>
      <c r="C1083" s="347" t="s">
        <v>133</v>
      </c>
      <c r="D1083" s="347" t="s">
        <v>1025</v>
      </c>
      <c r="E1083" s="32"/>
      <c r="F1083" s="337">
        <f>F1084</f>
        <v>523.1</v>
      </c>
      <c r="G1083" s="337">
        <f t="shared" si="538"/>
        <v>498.44099999999997</v>
      </c>
      <c r="H1083" s="337">
        <f t="shared" si="519"/>
        <v>95.285987382909568</v>
      </c>
    </row>
    <row r="1084" spans="1:8" ht="31.5" x14ac:dyDescent="0.25">
      <c r="A1084" s="323" t="s">
        <v>287</v>
      </c>
      <c r="B1084" s="347" t="s">
        <v>506</v>
      </c>
      <c r="C1084" s="347" t="s">
        <v>133</v>
      </c>
      <c r="D1084" s="347" t="s">
        <v>1025</v>
      </c>
      <c r="E1084" s="32" t="s">
        <v>288</v>
      </c>
      <c r="F1084" s="337">
        <f>F1085</f>
        <v>523.1</v>
      </c>
      <c r="G1084" s="337">
        <f t="shared" si="538"/>
        <v>498.44099999999997</v>
      </c>
      <c r="H1084" s="337">
        <f t="shared" si="519"/>
        <v>95.285987382909568</v>
      </c>
    </row>
    <row r="1085" spans="1:8" ht="15.75" x14ac:dyDescent="0.25">
      <c r="A1085" s="193" t="s">
        <v>289</v>
      </c>
      <c r="B1085" s="347" t="s">
        <v>506</v>
      </c>
      <c r="C1085" s="347" t="s">
        <v>133</v>
      </c>
      <c r="D1085" s="347" t="s">
        <v>1025</v>
      </c>
      <c r="E1085" s="32" t="s">
        <v>290</v>
      </c>
      <c r="F1085" s="337">
        <f>'Пр.4 ведом.20'!G919</f>
        <v>523.1</v>
      </c>
      <c r="G1085" s="337">
        <f>'Пр.4 ведом.20'!H919</f>
        <v>498.44099999999997</v>
      </c>
      <c r="H1085" s="337">
        <f t="shared" si="519"/>
        <v>95.285987382909568</v>
      </c>
    </row>
    <row r="1086" spans="1:8" ht="31.5" x14ac:dyDescent="0.25">
      <c r="A1086" s="318" t="s">
        <v>515</v>
      </c>
      <c r="B1086" s="319" t="s">
        <v>506</v>
      </c>
      <c r="C1086" s="319" t="s">
        <v>249</v>
      </c>
      <c r="D1086" s="319"/>
      <c r="E1086" s="319"/>
      <c r="F1086" s="4">
        <f>F1087+F1098+F1110</f>
        <v>11661.007750000001</v>
      </c>
      <c r="G1086" s="4">
        <f t="shared" ref="G1086" si="539">G1087+G1098+G1110</f>
        <v>11573.692780000001</v>
      </c>
      <c r="H1086" s="4">
        <f t="shared" si="519"/>
        <v>99.251222777036574</v>
      </c>
    </row>
    <row r="1087" spans="1:8" ht="31.5" x14ac:dyDescent="0.25">
      <c r="A1087" s="318" t="s">
        <v>988</v>
      </c>
      <c r="B1087" s="319" t="s">
        <v>506</v>
      </c>
      <c r="C1087" s="319" t="s">
        <v>249</v>
      </c>
      <c r="D1087" s="319" t="s">
        <v>902</v>
      </c>
      <c r="E1087" s="319"/>
      <c r="F1087" s="4">
        <f>F1088</f>
        <v>5183.2777500000011</v>
      </c>
      <c r="G1087" s="4">
        <f t="shared" ref="G1087" si="540">G1088</f>
        <v>5182.9420600000003</v>
      </c>
      <c r="H1087" s="4">
        <f t="shared" si="519"/>
        <v>99.993523596145295</v>
      </c>
    </row>
    <row r="1088" spans="1:8" ht="15.75" x14ac:dyDescent="0.25">
      <c r="A1088" s="318" t="s">
        <v>989</v>
      </c>
      <c r="B1088" s="319" t="s">
        <v>506</v>
      </c>
      <c r="C1088" s="319" t="s">
        <v>249</v>
      </c>
      <c r="D1088" s="319" t="s">
        <v>903</v>
      </c>
      <c r="E1088" s="319"/>
      <c r="F1088" s="4">
        <f>F1089+F1092+F1095</f>
        <v>5183.2777500000011</v>
      </c>
      <c r="G1088" s="4">
        <f t="shared" ref="G1088" si="541">G1089+G1092+G1095</f>
        <v>5182.9420600000003</v>
      </c>
      <c r="H1088" s="4">
        <f t="shared" si="519"/>
        <v>99.993523596145295</v>
      </c>
    </row>
    <row r="1089" spans="1:8" ht="31.5" x14ac:dyDescent="0.25">
      <c r="A1089" s="349" t="s">
        <v>965</v>
      </c>
      <c r="B1089" s="347" t="s">
        <v>506</v>
      </c>
      <c r="C1089" s="347" t="s">
        <v>249</v>
      </c>
      <c r="D1089" s="347" t="s">
        <v>904</v>
      </c>
      <c r="E1089" s="347"/>
      <c r="F1089" s="337">
        <f>F1090</f>
        <v>4829.1000000000004</v>
      </c>
      <c r="G1089" s="337">
        <f t="shared" ref="G1089:G1090" si="542">G1090</f>
        <v>4828.7958099999996</v>
      </c>
      <c r="H1089" s="337">
        <f t="shared" si="519"/>
        <v>99.993700896647397</v>
      </c>
    </row>
    <row r="1090" spans="1:8" ht="78.75" x14ac:dyDescent="0.25">
      <c r="A1090" s="349" t="s">
        <v>142</v>
      </c>
      <c r="B1090" s="347" t="s">
        <v>506</v>
      </c>
      <c r="C1090" s="347" t="s">
        <v>249</v>
      </c>
      <c r="D1090" s="347" t="s">
        <v>904</v>
      </c>
      <c r="E1090" s="347" t="s">
        <v>143</v>
      </c>
      <c r="F1090" s="337">
        <f>F1091</f>
        <v>4829.1000000000004</v>
      </c>
      <c r="G1090" s="337">
        <f t="shared" si="542"/>
        <v>4828.7958099999996</v>
      </c>
      <c r="H1090" s="337">
        <f t="shared" si="519"/>
        <v>99.993700896647397</v>
      </c>
    </row>
    <row r="1091" spans="1:8" ht="31.5" x14ac:dyDescent="0.25">
      <c r="A1091" s="349" t="s">
        <v>144</v>
      </c>
      <c r="B1091" s="347" t="s">
        <v>506</v>
      </c>
      <c r="C1091" s="347" t="s">
        <v>249</v>
      </c>
      <c r="D1091" s="347" t="s">
        <v>904</v>
      </c>
      <c r="E1091" s="347" t="s">
        <v>145</v>
      </c>
      <c r="F1091" s="337">
        <f>'Пр.4 ведом.20'!G925</f>
        <v>4829.1000000000004</v>
      </c>
      <c r="G1091" s="337">
        <f>'Пр.4 ведом.20'!H925</f>
        <v>4828.7958099999996</v>
      </c>
      <c r="H1091" s="337">
        <f t="shared" si="519"/>
        <v>99.993700896647397</v>
      </c>
    </row>
    <row r="1092" spans="1:8" ht="47.25" x14ac:dyDescent="0.25">
      <c r="A1092" s="349" t="s">
        <v>883</v>
      </c>
      <c r="B1092" s="347" t="s">
        <v>506</v>
      </c>
      <c r="C1092" s="347" t="s">
        <v>249</v>
      </c>
      <c r="D1092" s="347" t="s">
        <v>906</v>
      </c>
      <c r="E1092" s="347"/>
      <c r="F1092" s="337">
        <f>F1093</f>
        <v>316.10000000000002</v>
      </c>
      <c r="G1092" s="337">
        <f t="shared" ref="G1092:G1093" si="543">G1093</f>
        <v>316.06849999999997</v>
      </c>
      <c r="H1092" s="337">
        <f t="shared" si="519"/>
        <v>99.990034799114198</v>
      </c>
    </row>
    <row r="1093" spans="1:8" ht="78.75" x14ac:dyDescent="0.25">
      <c r="A1093" s="349" t="s">
        <v>142</v>
      </c>
      <c r="B1093" s="347" t="s">
        <v>506</v>
      </c>
      <c r="C1093" s="347" t="s">
        <v>249</v>
      </c>
      <c r="D1093" s="347" t="s">
        <v>906</v>
      </c>
      <c r="E1093" s="347" t="s">
        <v>143</v>
      </c>
      <c r="F1093" s="337">
        <f>F1094</f>
        <v>316.10000000000002</v>
      </c>
      <c r="G1093" s="337">
        <f t="shared" si="543"/>
        <v>316.06849999999997</v>
      </c>
      <c r="H1093" s="337">
        <f t="shared" si="519"/>
        <v>99.990034799114198</v>
      </c>
    </row>
    <row r="1094" spans="1:8" ht="31.5" x14ac:dyDescent="0.25">
      <c r="A1094" s="349" t="s">
        <v>144</v>
      </c>
      <c r="B1094" s="347" t="s">
        <v>506</v>
      </c>
      <c r="C1094" s="347" t="s">
        <v>249</v>
      </c>
      <c r="D1094" s="347" t="s">
        <v>906</v>
      </c>
      <c r="E1094" s="347" t="s">
        <v>145</v>
      </c>
      <c r="F1094" s="337">
        <f>'Пр.4 ведом.20'!G928</f>
        <v>316.10000000000002</v>
      </c>
      <c r="G1094" s="337">
        <f>'Пр.4 ведом.20'!H928</f>
        <v>316.06849999999997</v>
      </c>
      <c r="H1094" s="337">
        <f t="shared" si="519"/>
        <v>99.990034799114198</v>
      </c>
    </row>
    <row r="1095" spans="1:8" s="345" customFormat="1" ht="31.5" x14ac:dyDescent="0.25">
      <c r="A1095" s="349" t="s">
        <v>1582</v>
      </c>
      <c r="B1095" s="347" t="s">
        <v>506</v>
      </c>
      <c r="C1095" s="347" t="s">
        <v>249</v>
      </c>
      <c r="D1095" s="347" t="s">
        <v>1584</v>
      </c>
      <c r="E1095" s="324"/>
      <c r="F1095" s="337">
        <f>F1096</f>
        <v>38.077750000000002</v>
      </c>
      <c r="G1095" s="337">
        <f t="shared" ref="G1095:G1096" si="544">G1096</f>
        <v>38.077750000000002</v>
      </c>
      <c r="H1095" s="337">
        <f t="shared" si="519"/>
        <v>100</v>
      </c>
    </row>
    <row r="1096" spans="1:8" s="345" customFormat="1" ht="78.75" x14ac:dyDescent="0.25">
      <c r="A1096" s="349" t="s">
        <v>142</v>
      </c>
      <c r="B1096" s="347" t="s">
        <v>506</v>
      </c>
      <c r="C1096" s="347" t="s">
        <v>249</v>
      </c>
      <c r="D1096" s="347" t="s">
        <v>1584</v>
      </c>
      <c r="E1096" s="324" t="s">
        <v>143</v>
      </c>
      <c r="F1096" s="337">
        <f>F1097</f>
        <v>38.077750000000002</v>
      </c>
      <c r="G1096" s="337">
        <f t="shared" si="544"/>
        <v>38.077750000000002</v>
      </c>
      <c r="H1096" s="337">
        <f t="shared" si="519"/>
        <v>100</v>
      </c>
    </row>
    <row r="1097" spans="1:8" s="345" customFormat="1" ht="31.5" x14ac:dyDescent="0.25">
      <c r="A1097" s="349" t="s">
        <v>144</v>
      </c>
      <c r="B1097" s="347" t="s">
        <v>506</v>
      </c>
      <c r="C1097" s="347" t="s">
        <v>249</v>
      </c>
      <c r="D1097" s="347" t="s">
        <v>1584</v>
      </c>
      <c r="E1097" s="324" t="s">
        <v>145</v>
      </c>
      <c r="F1097" s="337">
        <f>'Пр.4 ведом.20'!G931</f>
        <v>38.077750000000002</v>
      </c>
      <c r="G1097" s="337">
        <f>'Пр.4 ведом.20'!H931</f>
        <v>38.077750000000002</v>
      </c>
      <c r="H1097" s="337">
        <f t="shared" ref="H1097:H1139" si="545">G1097/F1097*100</f>
        <v>100</v>
      </c>
    </row>
    <row r="1098" spans="1:8" ht="15.75" x14ac:dyDescent="0.25">
      <c r="A1098" s="318" t="s">
        <v>156</v>
      </c>
      <c r="B1098" s="319" t="s">
        <v>506</v>
      </c>
      <c r="C1098" s="319" t="s">
        <v>249</v>
      </c>
      <c r="D1098" s="319" t="s">
        <v>910</v>
      </c>
      <c r="E1098" s="319"/>
      <c r="F1098" s="4">
        <f>F1099</f>
        <v>5123.1000000000004</v>
      </c>
      <c r="G1098" s="4">
        <f t="shared" ref="G1098" si="546">G1099</f>
        <v>5036.1207199999999</v>
      </c>
      <c r="H1098" s="4">
        <f t="shared" si="545"/>
        <v>98.302213893931395</v>
      </c>
    </row>
    <row r="1099" spans="1:8" ht="31.5" x14ac:dyDescent="0.25">
      <c r="A1099" s="318" t="s">
        <v>1000</v>
      </c>
      <c r="B1099" s="319" t="s">
        <v>506</v>
      </c>
      <c r="C1099" s="319" t="s">
        <v>249</v>
      </c>
      <c r="D1099" s="319" t="s">
        <v>985</v>
      </c>
      <c r="E1099" s="319"/>
      <c r="F1099" s="4">
        <f>F1100+F1107</f>
        <v>5123.1000000000004</v>
      </c>
      <c r="G1099" s="4">
        <f t="shared" ref="G1099" si="547">G1100+G1107</f>
        <v>5036.1207199999999</v>
      </c>
      <c r="H1099" s="4">
        <f t="shared" si="545"/>
        <v>98.302213893931395</v>
      </c>
    </row>
    <row r="1100" spans="1:8" ht="31.5" x14ac:dyDescent="0.25">
      <c r="A1100" s="349" t="s">
        <v>972</v>
      </c>
      <c r="B1100" s="347" t="s">
        <v>506</v>
      </c>
      <c r="C1100" s="347" t="s">
        <v>249</v>
      </c>
      <c r="D1100" s="347" t="s">
        <v>986</v>
      </c>
      <c r="E1100" s="347"/>
      <c r="F1100" s="337">
        <f>F1101+F1103+F1105</f>
        <v>5064.1000000000004</v>
      </c>
      <c r="G1100" s="337">
        <f t="shared" ref="G1100" si="548">G1101+G1103+G1105</f>
        <v>4977.4162200000001</v>
      </c>
      <c r="H1100" s="337">
        <f t="shared" si="545"/>
        <v>98.288268794060144</v>
      </c>
    </row>
    <row r="1101" spans="1:8" ht="78.75" x14ac:dyDescent="0.25">
      <c r="A1101" s="349" t="s">
        <v>142</v>
      </c>
      <c r="B1101" s="347" t="s">
        <v>506</v>
      </c>
      <c r="C1101" s="347" t="s">
        <v>249</v>
      </c>
      <c r="D1101" s="347" t="s">
        <v>986</v>
      </c>
      <c r="E1101" s="347" t="s">
        <v>143</v>
      </c>
      <c r="F1101" s="337">
        <f>F1102</f>
        <v>4702.1000000000004</v>
      </c>
      <c r="G1101" s="337">
        <f t="shared" ref="G1101" si="549">G1102</f>
        <v>4621.9747500000003</v>
      </c>
      <c r="H1101" s="337">
        <f t="shared" si="545"/>
        <v>98.29596882244104</v>
      </c>
    </row>
    <row r="1102" spans="1:8" ht="31.5" x14ac:dyDescent="0.25">
      <c r="A1102" s="349" t="s">
        <v>357</v>
      </c>
      <c r="B1102" s="347" t="s">
        <v>506</v>
      </c>
      <c r="C1102" s="347" t="s">
        <v>249</v>
      </c>
      <c r="D1102" s="347" t="s">
        <v>986</v>
      </c>
      <c r="E1102" s="347" t="s">
        <v>224</v>
      </c>
      <c r="F1102" s="337">
        <f>'Пр.4 ведом.20'!G936</f>
        <v>4702.1000000000004</v>
      </c>
      <c r="G1102" s="337">
        <f>'Пр.4 ведом.20'!H936</f>
        <v>4621.9747500000003</v>
      </c>
      <c r="H1102" s="337">
        <f t="shared" si="545"/>
        <v>98.29596882244104</v>
      </c>
    </row>
    <row r="1103" spans="1:8" ht="31.5" x14ac:dyDescent="0.25">
      <c r="A1103" s="349" t="s">
        <v>146</v>
      </c>
      <c r="B1103" s="347" t="s">
        <v>506</v>
      </c>
      <c r="C1103" s="347" t="s">
        <v>249</v>
      </c>
      <c r="D1103" s="347" t="s">
        <v>986</v>
      </c>
      <c r="E1103" s="347" t="s">
        <v>147</v>
      </c>
      <c r="F1103" s="337">
        <f t="shared" ref="F1103:G1103" si="550">F1104</f>
        <v>361.3</v>
      </c>
      <c r="G1103" s="337">
        <f t="shared" si="550"/>
        <v>355.19146999999998</v>
      </c>
      <c r="H1103" s="337">
        <f t="shared" si="545"/>
        <v>98.309291447550507</v>
      </c>
    </row>
    <row r="1104" spans="1:8" ht="47.25" x14ac:dyDescent="0.25">
      <c r="A1104" s="349" t="s">
        <v>148</v>
      </c>
      <c r="B1104" s="347" t="s">
        <v>506</v>
      </c>
      <c r="C1104" s="347" t="s">
        <v>249</v>
      </c>
      <c r="D1104" s="347" t="s">
        <v>986</v>
      </c>
      <c r="E1104" s="347" t="s">
        <v>149</v>
      </c>
      <c r="F1104" s="337">
        <f>'Пр.4 ведом.20'!G938</f>
        <v>361.3</v>
      </c>
      <c r="G1104" s="337">
        <f>'Пр.4 ведом.20'!H938</f>
        <v>355.19146999999998</v>
      </c>
      <c r="H1104" s="337">
        <f t="shared" si="545"/>
        <v>98.309291447550507</v>
      </c>
    </row>
    <row r="1105" spans="1:8" ht="15.75" x14ac:dyDescent="0.25">
      <c r="A1105" s="349" t="s">
        <v>150</v>
      </c>
      <c r="B1105" s="347" t="s">
        <v>506</v>
      </c>
      <c r="C1105" s="347" t="s">
        <v>249</v>
      </c>
      <c r="D1105" s="347" t="s">
        <v>986</v>
      </c>
      <c r="E1105" s="347" t="s">
        <v>160</v>
      </c>
      <c r="F1105" s="337">
        <f>F1106</f>
        <v>0.7</v>
      </c>
      <c r="G1105" s="337">
        <f t="shared" ref="G1105" si="551">G1106</f>
        <v>0.25</v>
      </c>
      <c r="H1105" s="337">
        <f t="shared" si="545"/>
        <v>35.714285714285715</v>
      </c>
    </row>
    <row r="1106" spans="1:8" ht="15.75" x14ac:dyDescent="0.25">
      <c r="A1106" s="349" t="s">
        <v>583</v>
      </c>
      <c r="B1106" s="347" t="s">
        <v>506</v>
      </c>
      <c r="C1106" s="347" t="s">
        <v>249</v>
      </c>
      <c r="D1106" s="347" t="s">
        <v>986</v>
      </c>
      <c r="E1106" s="347" t="s">
        <v>153</v>
      </c>
      <c r="F1106" s="337">
        <f>'Пр.4 ведом.20'!G940</f>
        <v>0.7</v>
      </c>
      <c r="G1106" s="337">
        <f>'Пр.4 ведом.20'!H940</f>
        <v>0.25</v>
      </c>
      <c r="H1106" s="337">
        <f t="shared" si="545"/>
        <v>35.714285714285715</v>
      </c>
    </row>
    <row r="1107" spans="1:8" ht="47.25" x14ac:dyDescent="0.25">
      <c r="A1107" s="349" t="s">
        <v>883</v>
      </c>
      <c r="B1107" s="347" t="s">
        <v>506</v>
      </c>
      <c r="C1107" s="347" t="s">
        <v>249</v>
      </c>
      <c r="D1107" s="347" t="s">
        <v>987</v>
      </c>
      <c r="E1107" s="347"/>
      <c r="F1107" s="337">
        <f>F1108</f>
        <v>59</v>
      </c>
      <c r="G1107" s="337">
        <f t="shared" ref="G1107" si="552">G1108</f>
        <v>58.704500000000003</v>
      </c>
      <c r="H1107" s="337">
        <f t="shared" si="545"/>
        <v>99.499152542372883</v>
      </c>
    </row>
    <row r="1108" spans="1:8" ht="78.75" x14ac:dyDescent="0.25">
      <c r="A1108" s="349" t="s">
        <v>142</v>
      </c>
      <c r="B1108" s="347" t="s">
        <v>506</v>
      </c>
      <c r="C1108" s="347" t="s">
        <v>249</v>
      </c>
      <c r="D1108" s="347" t="s">
        <v>987</v>
      </c>
      <c r="E1108" s="347" t="s">
        <v>143</v>
      </c>
      <c r="F1108" s="337">
        <f t="shared" ref="F1108:G1108" si="553">F1109</f>
        <v>59</v>
      </c>
      <c r="G1108" s="337">
        <f t="shared" si="553"/>
        <v>58.704500000000003</v>
      </c>
      <c r="H1108" s="337">
        <f t="shared" si="545"/>
        <v>99.499152542372883</v>
      </c>
    </row>
    <row r="1109" spans="1:8" ht="31.5" x14ac:dyDescent="0.25">
      <c r="A1109" s="349" t="s">
        <v>144</v>
      </c>
      <c r="B1109" s="347" t="s">
        <v>506</v>
      </c>
      <c r="C1109" s="347" t="s">
        <v>249</v>
      </c>
      <c r="D1109" s="347" t="s">
        <v>987</v>
      </c>
      <c r="E1109" s="347" t="s">
        <v>145</v>
      </c>
      <c r="F1109" s="337">
        <f>'Пр.4 ведом.20'!G943</f>
        <v>59</v>
      </c>
      <c r="G1109" s="337">
        <f>'Пр.4 ведом.20'!H943</f>
        <v>58.704500000000003</v>
      </c>
      <c r="H1109" s="337">
        <f t="shared" si="545"/>
        <v>99.499152542372883</v>
      </c>
    </row>
    <row r="1110" spans="1:8" ht="47.25" x14ac:dyDescent="0.25">
      <c r="A1110" s="41" t="s">
        <v>496</v>
      </c>
      <c r="B1110" s="319" t="s">
        <v>506</v>
      </c>
      <c r="C1110" s="319" t="s">
        <v>249</v>
      </c>
      <c r="D1110" s="312" t="s">
        <v>497</v>
      </c>
      <c r="E1110" s="319"/>
      <c r="F1110" s="4">
        <f>F1111</f>
        <v>1354.63</v>
      </c>
      <c r="G1110" s="4">
        <f t="shared" ref="G1110:G1112" si="554">G1111</f>
        <v>1354.63</v>
      </c>
      <c r="H1110" s="4">
        <f t="shared" si="545"/>
        <v>100</v>
      </c>
    </row>
    <row r="1111" spans="1:8" ht="47.25" x14ac:dyDescent="0.25">
      <c r="A1111" s="58" t="s">
        <v>516</v>
      </c>
      <c r="B1111" s="319" t="s">
        <v>506</v>
      </c>
      <c r="C1111" s="319" t="s">
        <v>249</v>
      </c>
      <c r="D1111" s="312" t="s">
        <v>517</v>
      </c>
      <c r="E1111" s="319"/>
      <c r="F1111" s="4">
        <f>F1112</f>
        <v>1354.63</v>
      </c>
      <c r="G1111" s="4">
        <f t="shared" si="554"/>
        <v>1354.63</v>
      </c>
      <c r="H1111" s="4">
        <f t="shared" si="545"/>
        <v>100</v>
      </c>
    </row>
    <row r="1112" spans="1:8" ht="33.75" customHeight="1" x14ac:dyDescent="0.25">
      <c r="A1112" s="58" t="s">
        <v>1084</v>
      </c>
      <c r="B1112" s="319" t="s">
        <v>506</v>
      </c>
      <c r="C1112" s="319" t="s">
        <v>249</v>
      </c>
      <c r="D1112" s="312" t="s">
        <v>1085</v>
      </c>
      <c r="E1112" s="319"/>
      <c r="F1112" s="4">
        <f>F1113</f>
        <v>1354.63</v>
      </c>
      <c r="G1112" s="4">
        <f t="shared" si="554"/>
        <v>1354.63</v>
      </c>
      <c r="H1112" s="4">
        <f t="shared" si="545"/>
        <v>100</v>
      </c>
    </row>
    <row r="1113" spans="1:8" ht="31.5" x14ac:dyDescent="0.25">
      <c r="A1113" s="323" t="s">
        <v>1086</v>
      </c>
      <c r="B1113" s="347" t="s">
        <v>506</v>
      </c>
      <c r="C1113" s="347" t="s">
        <v>249</v>
      </c>
      <c r="D1113" s="324" t="s">
        <v>1234</v>
      </c>
      <c r="E1113" s="347"/>
      <c r="F1113" s="293">
        <f>F1114+F1116</f>
        <v>1354.63</v>
      </c>
      <c r="G1113" s="293">
        <f t="shared" ref="G1113" si="555">G1114+G1116</f>
        <v>1354.63</v>
      </c>
      <c r="H1113" s="337">
        <f t="shared" si="545"/>
        <v>100</v>
      </c>
    </row>
    <row r="1114" spans="1:8" ht="78.75" x14ac:dyDescent="0.25">
      <c r="A1114" s="349" t="s">
        <v>142</v>
      </c>
      <c r="B1114" s="347" t="s">
        <v>506</v>
      </c>
      <c r="C1114" s="347" t="s">
        <v>249</v>
      </c>
      <c r="D1114" s="324" t="s">
        <v>1234</v>
      </c>
      <c r="E1114" s="347" t="s">
        <v>143</v>
      </c>
      <c r="F1114" s="293">
        <f>F1115</f>
        <v>530.84000000000015</v>
      </c>
      <c r="G1114" s="293">
        <f t="shared" ref="G1114" si="556">G1115</f>
        <v>530.84</v>
      </c>
      <c r="H1114" s="337">
        <f t="shared" si="545"/>
        <v>99.999999999999972</v>
      </c>
    </row>
    <row r="1115" spans="1:8" ht="21.75" customHeight="1" x14ac:dyDescent="0.25">
      <c r="A1115" s="349" t="s">
        <v>357</v>
      </c>
      <c r="B1115" s="347" t="s">
        <v>506</v>
      </c>
      <c r="C1115" s="347" t="s">
        <v>249</v>
      </c>
      <c r="D1115" s="324" t="s">
        <v>1234</v>
      </c>
      <c r="E1115" s="347" t="s">
        <v>224</v>
      </c>
      <c r="F1115" s="293">
        <f>'Пр.4 ведом.20'!G949</f>
        <v>530.84000000000015</v>
      </c>
      <c r="G1115" s="293">
        <f>'Пр.4 ведом.20'!H949</f>
        <v>530.84</v>
      </c>
      <c r="H1115" s="337">
        <f t="shared" si="545"/>
        <v>99.999999999999972</v>
      </c>
    </row>
    <row r="1116" spans="1:8" ht="36" customHeight="1" x14ac:dyDescent="0.25">
      <c r="A1116" s="323" t="s">
        <v>146</v>
      </c>
      <c r="B1116" s="347" t="s">
        <v>506</v>
      </c>
      <c r="C1116" s="347" t="s">
        <v>249</v>
      </c>
      <c r="D1116" s="324" t="s">
        <v>1234</v>
      </c>
      <c r="E1116" s="347" t="s">
        <v>147</v>
      </c>
      <c r="F1116" s="293">
        <f>F1117</f>
        <v>823.79</v>
      </c>
      <c r="G1116" s="293">
        <f t="shared" ref="G1116" si="557">G1117</f>
        <v>823.79</v>
      </c>
      <c r="H1116" s="337">
        <f t="shared" si="545"/>
        <v>100</v>
      </c>
    </row>
    <row r="1117" spans="1:8" ht="47.25" x14ac:dyDescent="0.25">
      <c r="A1117" s="323" t="s">
        <v>148</v>
      </c>
      <c r="B1117" s="347" t="s">
        <v>506</v>
      </c>
      <c r="C1117" s="347" t="s">
        <v>249</v>
      </c>
      <c r="D1117" s="324" t="s">
        <v>1234</v>
      </c>
      <c r="E1117" s="347" t="s">
        <v>149</v>
      </c>
      <c r="F1117" s="337">
        <f>'Пр.4 ведом.20'!G951</f>
        <v>823.79</v>
      </c>
      <c r="G1117" s="337">
        <f>'Пр.4 ведом.20'!H951</f>
        <v>823.79</v>
      </c>
      <c r="H1117" s="337">
        <f t="shared" si="545"/>
        <v>100</v>
      </c>
    </row>
    <row r="1118" spans="1:8" ht="15.75" x14ac:dyDescent="0.25">
      <c r="A1118" s="41" t="s">
        <v>597</v>
      </c>
      <c r="B1118" s="312" t="s">
        <v>253</v>
      </c>
      <c r="C1118" s="324"/>
      <c r="D1118" s="324"/>
      <c r="E1118" s="324"/>
      <c r="F1118" s="4">
        <f t="shared" ref="F1118:G1118" si="558">F1119</f>
        <v>6543.0999999999985</v>
      </c>
      <c r="G1118" s="4">
        <f t="shared" si="558"/>
        <v>6536.8035399999999</v>
      </c>
      <c r="H1118" s="4">
        <f t="shared" si="545"/>
        <v>99.903769467072195</v>
      </c>
    </row>
    <row r="1119" spans="1:8" ht="15.75" x14ac:dyDescent="0.25">
      <c r="A1119" s="41" t="s">
        <v>598</v>
      </c>
      <c r="B1119" s="312" t="s">
        <v>253</v>
      </c>
      <c r="C1119" s="312" t="s">
        <v>228</v>
      </c>
      <c r="D1119" s="312"/>
      <c r="E1119" s="312"/>
      <c r="F1119" s="4">
        <f>F1120+F1134</f>
        <v>6543.0999999999985</v>
      </c>
      <c r="G1119" s="4">
        <f t="shared" ref="G1119" si="559">G1120+G1134</f>
        <v>6536.8035399999999</v>
      </c>
      <c r="H1119" s="4">
        <f t="shared" si="545"/>
        <v>99.903769467072195</v>
      </c>
    </row>
    <row r="1120" spans="1:8" ht="15.75" x14ac:dyDescent="0.25">
      <c r="A1120" s="318" t="s">
        <v>156</v>
      </c>
      <c r="B1120" s="319" t="s">
        <v>253</v>
      </c>
      <c r="C1120" s="319" t="s">
        <v>228</v>
      </c>
      <c r="D1120" s="319" t="s">
        <v>910</v>
      </c>
      <c r="E1120" s="319"/>
      <c r="F1120" s="4">
        <f>F1121</f>
        <v>6471.0999999999985</v>
      </c>
      <c r="G1120" s="4">
        <f t="shared" ref="G1120" si="560">G1121</f>
        <v>6464.8035399999999</v>
      </c>
      <c r="H1120" s="4">
        <f t="shared" si="545"/>
        <v>99.902698768370158</v>
      </c>
    </row>
    <row r="1121" spans="1:8" ht="15.75" x14ac:dyDescent="0.25">
      <c r="A1121" s="318" t="s">
        <v>1088</v>
      </c>
      <c r="B1121" s="319" t="s">
        <v>253</v>
      </c>
      <c r="C1121" s="319" t="s">
        <v>228</v>
      </c>
      <c r="D1121" s="319" t="s">
        <v>1087</v>
      </c>
      <c r="E1121" s="319"/>
      <c r="F1121" s="4">
        <f>F1122+F1131</f>
        <v>6471.0999999999985</v>
      </c>
      <c r="G1121" s="4">
        <f t="shared" ref="G1121" si="561">G1122+G1131</f>
        <v>6464.8035399999999</v>
      </c>
      <c r="H1121" s="4">
        <f t="shared" si="545"/>
        <v>99.902698768370158</v>
      </c>
    </row>
    <row r="1122" spans="1:8" ht="15.75" x14ac:dyDescent="0.25">
      <c r="A1122" s="349" t="s">
        <v>832</v>
      </c>
      <c r="B1122" s="347" t="s">
        <v>253</v>
      </c>
      <c r="C1122" s="347" t="s">
        <v>228</v>
      </c>
      <c r="D1122" s="347" t="s">
        <v>1089</v>
      </c>
      <c r="E1122" s="347"/>
      <c r="F1122" s="337">
        <f>F1123+F1125+F1129+F1127</f>
        <v>6308.6999999999989</v>
      </c>
      <c r="G1122" s="337">
        <f t="shared" ref="G1122" si="562">G1123+G1125+G1129+G1127</f>
        <v>6302.50954</v>
      </c>
      <c r="H1122" s="337">
        <f t="shared" si="545"/>
        <v>99.901874237164563</v>
      </c>
    </row>
    <row r="1123" spans="1:8" ht="78.75" x14ac:dyDescent="0.25">
      <c r="A1123" s="349" t="s">
        <v>142</v>
      </c>
      <c r="B1123" s="347" t="s">
        <v>253</v>
      </c>
      <c r="C1123" s="347" t="s">
        <v>228</v>
      </c>
      <c r="D1123" s="347" t="s">
        <v>1089</v>
      </c>
      <c r="E1123" s="347" t="s">
        <v>143</v>
      </c>
      <c r="F1123" s="337">
        <f>F1124</f>
        <v>4710.0999999999995</v>
      </c>
      <c r="G1123" s="337">
        <f t="shared" ref="G1123" si="563">G1124</f>
        <v>4709.8735200000001</v>
      </c>
      <c r="H1123" s="337">
        <f t="shared" si="545"/>
        <v>99.995191609519978</v>
      </c>
    </row>
    <row r="1124" spans="1:8" ht="31.5" x14ac:dyDescent="0.25">
      <c r="A1124" s="349" t="s">
        <v>223</v>
      </c>
      <c r="B1124" s="347" t="s">
        <v>253</v>
      </c>
      <c r="C1124" s="347" t="s">
        <v>228</v>
      </c>
      <c r="D1124" s="347" t="s">
        <v>1089</v>
      </c>
      <c r="E1124" s="347" t="s">
        <v>224</v>
      </c>
      <c r="F1124" s="337">
        <f>'Пр.4 ведом.20'!G507</f>
        <v>4710.0999999999995</v>
      </c>
      <c r="G1124" s="337">
        <f>'Пр.4 ведом.20'!H507</f>
        <v>4709.8735200000001</v>
      </c>
      <c r="H1124" s="337">
        <f t="shared" si="545"/>
        <v>99.995191609519978</v>
      </c>
    </row>
    <row r="1125" spans="1:8" ht="31.5" x14ac:dyDescent="0.25">
      <c r="A1125" s="349" t="s">
        <v>146</v>
      </c>
      <c r="B1125" s="347" t="s">
        <v>253</v>
      </c>
      <c r="C1125" s="347" t="s">
        <v>228</v>
      </c>
      <c r="D1125" s="347" t="s">
        <v>1089</v>
      </c>
      <c r="E1125" s="347" t="s">
        <v>147</v>
      </c>
      <c r="F1125" s="337">
        <f t="shared" ref="F1125:G1125" si="564">F1126</f>
        <v>958.59999999999991</v>
      </c>
      <c r="G1125" s="337">
        <f t="shared" si="564"/>
        <v>952.79438000000005</v>
      </c>
      <c r="H1125" s="337">
        <f t="shared" si="545"/>
        <v>99.394364698518686</v>
      </c>
    </row>
    <row r="1126" spans="1:8" ht="47.25" x14ac:dyDescent="0.25">
      <c r="A1126" s="349" t="s">
        <v>148</v>
      </c>
      <c r="B1126" s="347" t="s">
        <v>253</v>
      </c>
      <c r="C1126" s="347" t="s">
        <v>228</v>
      </c>
      <c r="D1126" s="347" t="s">
        <v>1089</v>
      </c>
      <c r="E1126" s="347" t="s">
        <v>149</v>
      </c>
      <c r="F1126" s="337">
        <f>'Пр.4 ведом.20'!G509</f>
        <v>958.59999999999991</v>
      </c>
      <c r="G1126" s="337">
        <f>'Пр.4 ведом.20'!H509</f>
        <v>952.79438000000005</v>
      </c>
      <c r="H1126" s="337">
        <f t="shared" si="545"/>
        <v>99.394364698518686</v>
      </c>
    </row>
    <row r="1127" spans="1:8" s="336" customFormat="1" ht="31.5" x14ac:dyDescent="0.25">
      <c r="A1127" s="349" t="s">
        <v>263</v>
      </c>
      <c r="B1127" s="347" t="s">
        <v>253</v>
      </c>
      <c r="C1127" s="347" t="s">
        <v>228</v>
      </c>
      <c r="D1127" s="347" t="s">
        <v>1089</v>
      </c>
      <c r="E1127" s="347" t="s">
        <v>264</v>
      </c>
      <c r="F1127" s="337">
        <f>F1128</f>
        <v>617.9</v>
      </c>
      <c r="G1127" s="337">
        <f t="shared" ref="G1127" si="565">G1128</f>
        <v>617.83824000000004</v>
      </c>
      <c r="H1127" s="337">
        <f t="shared" si="545"/>
        <v>99.990004855154567</v>
      </c>
    </row>
    <row r="1128" spans="1:8" s="336" customFormat="1" ht="31.5" x14ac:dyDescent="0.25">
      <c r="A1128" s="349" t="s">
        <v>265</v>
      </c>
      <c r="B1128" s="347" t="s">
        <v>253</v>
      </c>
      <c r="C1128" s="347" t="s">
        <v>228</v>
      </c>
      <c r="D1128" s="347" t="s">
        <v>1089</v>
      </c>
      <c r="E1128" s="347" t="s">
        <v>266</v>
      </c>
      <c r="F1128" s="337">
        <f>'Пр.4 ведом.20'!G511</f>
        <v>617.9</v>
      </c>
      <c r="G1128" s="337">
        <f>'Пр.4 ведом.20'!H511</f>
        <v>617.83824000000004</v>
      </c>
      <c r="H1128" s="337">
        <f t="shared" si="545"/>
        <v>99.990004855154567</v>
      </c>
    </row>
    <row r="1129" spans="1:8" ht="15.75" x14ac:dyDescent="0.25">
      <c r="A1129" s="349" t="s">
        <v>150</v>
      </c>
      <c r="B1129" s="347" t="s">
        <v>253</v>
      </c>
      <c r="C1129" s="347" t="s">
        <v>228</v>
      </c>
      <c r="D1129" s="347" t="s">
        <v>1089</v>
      </c>
      <c r="E1129" s="347" t="s">
        <v>160</v>
      </c>
      <c r="F1129" s="293">
        <f t="shared" ref="F1129:G1129" si="566">F1130</f>
        <v>22.1</v>
      </c>
      <c r="G1129" s="293">
        <f t="shared" si="566"/>
        <v>22.003399999999999</v>
      </c>
      <c r="H1129" s="337">
        <f t="shared" si="545"/>
        <v>99.562895927601801</v>
      </c>
    </row>
    <row r="1130" spans="1:8" ht="15.75" x14ac:dyDescent="0.25">
      <c r="A1130" s="349" t="s">
        <v>583</v>
      </c>
      <c r="B1130" s="347" t="s">
        <v>253</v>
      </c>
      <c r="C1130" s="347" t="s">
        <v>228</v>
      </c>
      <c r="D1130" s="347" t="s">
        <v>1089</v>
      </c>
      <c r="E1130" s="347" t="s">
        <v>153</v>
      </c>
      <c r="F1130" s="293">
        <f>'Пр.4 ведом.20'!G513</f>
        <v>22.1</v>
      </c>
      <c r="G1130" s="293">
        <f>'Пр.4 ведом.20'!H513</f>
        <v>22.003399999999999</v>
      </c>
      <c r="H1130" s="337">
        <f t="shared" si="545"/>
        <v>99.562895927601801</v>
      </c>
    </row>
    <row r="1131" spans="1:8" ht="47.25" x14ac:dyDescent="0.25">
      <c r="A1131" s="349" t="s">
        <v>883</v>
      </c>
      <c r="B1131" s="347" t="s">
        <v>253</v>
      </c>
      <c r="C1131" s="347" t="s">
        <v>228</v>
      </c>
      <c r="D1131" s="347" t="s">
        <v>1090</v>
      </c>
      <c r="E1131" s="347"/>
      <c r="F1131" s="337">
        <f>F1132</f>
        <v>162.4</v>
      </c>
      <c r="G1131" s="337">
        <f t="shared" ref="G1131:G1132" si="567">G1132</f>
        <v>162.29400000000001</v>
      </c>
      <c r="H1131" s="337">
        <f t="shared" si="545"/>
        <v>99.934729064039402</v>
      </c>
    </row>
    <row r="1132" spans="1:8" ht="78.75" x14ac:dyDescent="0.25">
      <c r="A1132" s="349" t="s">
        <v>142</v>
      </c>
      <c r="B1132" s="347" t="s">
        <v>253</v>
      </c>
      <c r="C1132" s="347" t="s">
        <v>228</v>
      </c>
      <c r="D1132" s="347" t="s">
        <v>1090</v>
      </c>
      <c r="E1132" s="347" t="s">
        <v>143</v>
      </c>
      <c r="F1132" s="337">
        <f>F1133</f>
        <v>162.4</v>
      </c>
      <c r="G1132" s="337">
        <f t="shared" si="567"/>
        <v>162.29400000000001</v>
      </c>
      <c r="H1132" s="337">
        <f t="shared" si="545"/>
        <v>99.934729064039402</v>
      </c>
    </row>
    <row r="1133" spans="1:8" ht="31.5" x14ac:dyDescent="0.25">
      <c r="A1133" s="349" t="s">
        <v>144</v>
      </c>
      <c r="B1133" s="347" t="s">
        <v>253</v>
      </c>
      <c r="C1133" s="347" t="s">
        <v>228</v>
      </c>
      <c r="D1133" s="347" t="s">
        <v>1090</v>
      </c>
      <c r="E1133" s="347" t="s">
        <v>224</v>
      </c>
      <c r="F1133" s="337">
        <f>'Пр.4 ведом.20'!G516</f>
        <v>162.4</v>
      </c>
      <c r="G1133" s="337">
        <f>'Пр.4 ведом.20'!H516</f>
        <v>162.29400000000001</v>
      </c>
      <c r="H1133" s="337">
        <f t="shared" si="545"/>
        <v>99.934729064039402</v>
      </c>
    </row>
    <row r="1134" spans="1:8" ht="63" x14ac:dyDescent="0.25">
      <c r="A1134" s="41" t="s">
        <v>1177</v>
      </c>
      <c r="B1134" s="319" t="s">
        <v>253</v>
      </c>
      <c r="C1134" s="319" t="s">
        <v>228</v>
      </c>
      <c r="D1134" s="319" t="s">
        <v>726</v>
      </c>
      <c r="E1134" s="228"/>
      <c r="F1134" s="4">
        <f>F1135</f>
        <v>72</v>
      </c>
      <c r="G1134" s="4">
        <f t="shared" ref="G1134:G1137" si="568">G1135</f>
        <v>72</v>
      </c>
      <c r="H1134" s="4">
        <f t="shared" si="545"/>
        <v>100</v>
      </c>
    </row>
    <row r="1135" spans="1:8" s="210" customFormat="1" ht="47.25" x14ac:dyDescent="0.25">
      <c r="A1135" s="41" t="s">
        <v>947</v>
      </c>
      <c r="B1135" s="319" t="s">
        <v>253</v>
      </c>
      <c r="C1135" s="319" t="s">
        <v>228</v>
      </c>
      <c r="D1135" s="319" t="s">
        <v>945</v>
      </c>
      <c r="E1135" s="228"/>
      <c r="F1135" s="4">
        <f>F1136</f>
        <v>72</v>
      </c>
      <c r="G1135" s="4">
        <f t="shared" si="568"/>
        <v>72</v>
      </c>
      <c r="H1135" s="4">
        <f t="shared" si="545"/>
        <v>100</v>
      </c>
    </row>
    <row r="1136" spans="1:8" s="210" customFormat="1" ht="47.25" x14ac:dyDescent="0.25">
      <c r="A1136" s="99" t="s">
        <v>1155</v>
      </c>
      <c r="B1136" s="347" t="s">
        <v>253</v>
      </c>
      <c r="C1136" s="347" t="s">
        <v>228</v>
      </c>
      <c r="D1136" s="347" t="s">
        <v>946</v>
      </c>
      <c r="E1136" s="32"/>
      <c r="F1136" s="337">
        <f>F1137</f>
        <v>72</v>
      </c>
      <c r="G1136" s="337">
        <f t="shared" si="568"/>
        <v>72</v>
      </c>
      <c r="H1136" s="337">
        <f t="shared" si="545"/>
        <v>100</v>
      </c>
    </row>
    <row r="1137" spans="1:8" s="210" customFormat="1" ht="31.5" x14ac:dyDescent="0.25">
      <c r="A1137" s="349" t="s">
        <v>146</v>
      </c>
      <c r="B1137" s="347" t="s">
        <v>253</v>
      </c>
      <c r="C1137" s="347" t="s">
        <v>228</v>
      </c>
      <c r="D1137" s="347" t="s">
        <v>946</v>
      </c>
      <c r="E1137" s="32" t="s">
        <v>147</v>
      </c>
      <c r="F1137" s="337">
        <f>F1138</f>
        <v>72</v>
      </c>
      <c r="G1137" s="337">
        <f t="shared" si="568"/>
        <v>72</v>
      </c>
      <c r="H1137" s="337">
        <f t="shared" si="545"/>
        <v>100</v>
      </c>
    </row>
    <row r="1138" spans="1:8" s="210" customFormat="1" ht="47.25" x14ac:dyDescent="0.25">
      <c r="A1138" s="349" t="s">
        <v>148</v>
      </c>
      <c r="B1138" s="347" t="s">
        <v>253</v>
      </c>
      <c r="C1138" s="347" t="s">
        <v>228</v>
      </c>
      <c r="D1138" s="347" t="s">
        <v>946</v>
      </c>
      <c r="E1138" s="32" t="s">
        <v>149</v>
      </c>
      <c r="F1138" s="337">
        <f>'Пр.4 ведом.20'!G521</f>
        <v>72</v>
      </c>
      <c r="G1138" s="337">
        <f>'Пр.4 ведом.20'!H521</f>
        <v>72</v>
      </c>
      <c r="H1138" s="337">
        <f t="shared" si="545"/>
        <v>100</v>
      </c>
    </row>
    <row r="1139" spans="1:8" ht="15.75" x14ac:dyDescent="0.25">
      <c r="A1139" s="61" t="s">
        <v>602</v>
      </c>
      <c r="B1139" s="312"/>
      <c r="C1139" s="312"/>
      <c r="D1139" s="312"/>
      <c r="E1139" s="312"/>
      <c r="F1139" s="297">
        <f>F8+F250+F269+F351+F530+F853+F1023+F1118+F965</f>
        <v>782239.5443999999</v>
      </c>
      <c r="G1139" s="297">
        <f t="shared" ref="G1139" si="569">G8+G250+G269+G351+G530+G853+G1023+G1118+G965</f>
        <v>753289.39202999987</v>
      </c>
      <c r="H1139" s="4">
        <f t="shared" si="545"/>
        <v>96.299068159203642</v>
      </c>
    </row>
    <row r="1140" spans="1:8" hidden="1" x14ac:dyDescent="0.25">
      <c r="F1140" s="340">
        <f>'Пр.4 ведом.20'!G1244</f>
        <v>782239.54439999978</v>
      </c>
      <c r="G1140" s="340">
        <f>'Пр.4 ведом.20'!H1244</f>
        <v>753289.39202999999</v>
      </c>
      <c r="H1140" s="340">
        <f>'Пр.4 ведом.20'!I1244</f>
        <v>96.299068159203657</v>
      </c>
    </row>
    <row r="1141" spans="1:8" hidden="1" x14ac:dyDescent="0.25">
      <c r="F1141" s="340">
        <f>F1140-F1139</f>
        <v>0</v>
      </c>
      <c r="G1141" s="340">
        <f t="shared" ref="G1141:H1141" si="570">G1140-G1139</f>
        <v>0</v>
      </c>
      <c r="H1141" s="340">
        <f t="shared" si="570"/>
        <v>0</v>
      </c>
    </row>
  </sheetData>
  <mergeCells count="3">
    <mergeCell ref="A5:H5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topLeftCell="A16" workbookViewId="0">
      <selection activeCell="E19" sqref="E19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11"/>
      <c r="E1" s="211"/>
      <c r="F1" s="437" t="s">
        <v>1273</v>
      </c>
      <c r="G1" s="437"/>
    </row>
    <row r="2" spans="1:11" ht="15.75" x14ac:dyDescent="0.25">
      <c r="A2" s="56"/>
      <c r="B2" s="56"/>
      <c r="C2" s="56"/>
      <c r="D2" s="211"/>
      <c r="E2" s="211"/>
      <c r="F2" s="437" t="s">
        <v>0</v>
      </c>
      <c r="G2" s="437"/>
    </row>
    <row r="3" spans="1:11" ht="18.75" x14ac:dyDescent="0.3">
      <c r="A3" s="56"/>
      <c r="B3" s="56"/>
      <c r="C3" s="56"/>
      <c r="D3" s="211"/>
      <c r="E3" s="198"/>
      <c r="F3" s="437" t="s">
        <v>1600</v>
      </c>
      <c r="G3" s="437"/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436" t="s">
        <v>1345</v>
      </c>
      <c r="B5" s="436"/>
      <c r="C5" s="436"/>
      <c r="D5" s="436"/>
      <c r="E5" s="436"/>
      <c r="F5" s="436"/>
      <c r="G5" s="436"/>
    </row>
    <row r="6" spans="1:11" x14ac:dyDescent="0.25">
      <c r="A6" s="56"/>
      <c r="B6" s="56"/>
      <c r="C6" s="56"/>
      <c r="D6" s="56"/>
      <c r="E6" s="56"/>
      <c r="F6" s="116"/>
      <c r="G6" s="291" t="s">
        <v>1</v>
      </c>
    </row>
    <row r="7" spans="1:11" ht="35.450000000000003" customHeight="1" x14ac:dyDescent="0.25">
      <c r="A7" s="233" t="s">
        <v>607</v>
      </c>
      <c r="B7" s="234" t="s">
        <v>127</v>
      </c>
      <c r="C7" s="234" t="s">
        <v>128</v>
      </c>
      <c r="D7" s="234" t="s">
        <v>129</v>
      </c>
      <c r="E7" s="234" t="s">
        <v>130</v>
      </c>
      <c r="F7" s="292" t="s">
        <v>1274</v>
      </c>
      <c r="G7" s="292" t="s">
        <v>1275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141364.12</v>
      </c>
      <c r="G8" s="4">
        <f>G9+G28+G39+G97+G127+G119</f>
        <v>147123.02000000002</v>
      </c>
      <c r="H8" s="231">
        <v>139576.82</v>
      </c>
      <c r="I8" s="231">
        <v>147498.12</v>
      </c>
      <c r="J8" s="231">
        <f>H8-F8</f>
        <v>-1787.2999999999884</v>
      </c>
      <c r="K8" s="231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1414</v>
      </c>
      <c r="B20" s="24" t="s">
        <v>133</v>
      </c>
      <c r="C20" s="7" t="s">
        <v>228</v>
      </c>
      <c r="D20" s="24" t="s">
        <v>177</v>
      </c>
      <c r="E20" s="7"/>
      <c r="F20" s="294">
        <f>F21</f>
        <v>25.5</v>
      </c>
      <c r="G20" s="294">
        <f>G21</f>
        <v>25.5</v>
      </c>
    </row>
    <row r="21" spans="1:7" ht="78.75" x14ac:dyDescent="0.25">
      <c r="A21" s="225" t="s">
        <v>887</v>
      </c>
      <c r="B21" s="24" t="s">
        <v>133</v>
      </c>
      <c r="C21" s="7" t="s">
        <v>228</v>
      </c>
      <c r="D21" s="7" t="s">
        <v>894</v>
      </c>
      <c r="E21" s="7"/>
      <c r="F21" s="294">
        <f>F22+F25</f>
        <v>25.5</v>
      </c>
      <c r="G21" s="294">
        <f>G22+G25</f>
        <v>25.5</v>
      </c>
    </row>
    <row r="22" spans="1:7" ht="63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6">
        <f>'Пр.3 Рд,пр, ЦС,ВР 20'!F39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6">
        <f>'Пр.3 Рд,пр, ЦС,ВР 20'!F40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6">
        <f>'Пр.3 Рд,пр, ЦС,ВР 20'!F41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1256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1256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1256</v>
      </c>
      <c r="E60" s="40" t="s">
        <v>149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991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991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991</v>
      </c>
      <c r="E63" s="40" t="s">
        <v>145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991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991</v>
      </c>
      <c r="E65" s="40" t="s">
        <v>149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1193</v>
      </c>
      <c r="E66" s="40"/>
      <c r="F66" s="6">
        <f>'Пр.3 Рд,пр, ЦС,ВР 20'!F83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1193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1193</v>
      </c>
      <c r="E68" s="40" t="s">
        <v>145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1193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1193</v>
      </c>
      <c r="E70" s="40" t="s">
        <v>149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992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992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992</v>
      </c>
      <c r="E73" s="40" t="s">
        <v>145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992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992</v>
      </c>
      <c r="E75" s="40" t="s">
        <v>149</v>
      </c>
      <c r="F75" s="6">
        <f>'пр.5.1.ведом.21-22'!G68</f>
        <v>89.4</v>
      </c>
      <c r="G75" s="6">
        <f>'пр.5.1.ведом.21-22'!H68</f>
        <v>89.4</v>
      </c>
    </row>
    <row r="76" spans="1:7" s="210" customFormat="1" ht="110.25" x14ac:dyDescent="0.25">
      <c r="A76" s="31" t="s">
        <v>1401</v>
      </c>
      <c r="B76" s="20" t="s">
        <v>133</v>
      </c>
      <c r="C76" s="20" t="s">
        <v>165</v>
      </c>
      <c r="D76" s="20" t="s">
        <v>1400</v>
      </c>
      <c r="E76" s="20"/>
      <c r="F76" s="26">
        <f>F77</f>
        <v>22</v>
      </c>
      <c r="G76" s="26">
        <f>G77</f>
        <v>22</v>
      </c>
    </row>
    <row r="77" spans="1:7" s="210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1400</v>
      </c>
      <c r="E77" s="20" t="s">
        <v>143</v>
      </c>
      <c r="F77" s="26">
        <f>F78</f>
        <v>22</v>
      </c>
      <c r="G77" s="26">
        <f>G78</f>
        <v>22</v>
      </c>
    </row>
    <row r="78" spans="1:7" s="210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1400</v>
      </c>
      <c r="E78" s="20" t="s">
        <v>145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1414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26" t="s">
        <v>1153</v>
      </c>
      <c r="B80" s="24" t="s">
        <v>133</v>
      </c>
      <c r="C80" s="24" t="s">
        <v>165</v>
      </c>
      <c r="D80" s="7" t="s">
        <v>893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1152</v>
      </c>
      <c r="B81" s="20" t="s">
        <v>133</v>
      </c>
      <c r="C81" s="20" t="s">
        <v>165</v>
      </c>
      <c r="D81" s="40" t="s">
        <v>885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885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885</v>
      </c>
      <c r="E83" s="20" t="s">
        <v>149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25" t="s">
        <v>887</v>
      </c>
      <c r="B84" s="24" t="s">
        <v>133</v>
      </c>
      <c r="C84" s="24" t="s">
        <v>165</v>
      </c>
      <c r="D84" s="7" t="s">
        <v>894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886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886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886</v>
      </c>
      <c r="E87" s="20" t="s">
        <v>145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886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886</v>
      </c>
      <c r="E89" s="20" t="s">
        <v>149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27" t="s">
        <v>1154</v>
      </c>
      <c r="B90" s="24" t="s">
        <v>133</v>
      </c>
      <c r="C90" s="24" t="s">
        <v>165</v>
      </c>
      <c r="D90" s="7" t="s">
        <v>895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888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888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888</v>
      </c>
      <c r="E93" s="20" t="s">
        <v>149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889</v>
      </c>
      <c r="E94" s="20"/>
      <c r="F94" s="6">
        <f>'Пр.3 Рд,пр, ЦС,ВР 20'!F111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889</v>
      </c>
      <c r="E95" s="20" t="s">
        <v>147</v>
      </c>
      <c r="F95" s="6">
        <f>'Пр.3 Рд,пр, ЦС,ВР 20'!F112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889</v>
      </c>
      <c r="E96" s="20" t="s">
        <v>149</v>
      </c>
      <c r="F96" s="6">
        <f>'Пр.3 Рд,пр, ЦС,ВР 20'!F113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14409.5</v>
      </c>
      <c r="G97" s="4">
        <f t="shared" si="5"/>
        <v>15283.5</v>
      </c>
    </row>
    <row r="98" spans="1:7" ht="31.5" x14ac:dyDescent="0.25">
      <c r="A98" s="23" t="s">
        <v>988</v>
      </c>
      <c r="B98" s="7" t="s">
        <v>133</v>
      </c>
      <c r="C98" s="7" t="s">
        <v>135</v>
      </c>
      <c r="D98" s="7" t="s">
        <v>902</v>
      </c>
      <c r="E98" s="7"/>
      <c r="F98" s="4">
        <f>F108+F99</f>
        <v>14409.5</v>
      </c>
      <c r="G98" s="4">
        <f>G108+G99</f>
        <v>15283.5</v>
      </c>
    </row>
    <row r="99" spans="1:7" ht="31.5" x14ac:dyDescent="0.25">
      <c r="A99" s="23" t="s">
        <v>1132</v>
      </c>
      <c r="B99" s="7" t="s">
        <v>133</v>
      </c>
      <c r="C99" s="7" t="s">
        <v>135</v>
      </c>
      <c r="D99" s="7" t="s">
        <v>1133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965</v>
      </c>
      <c r="B100" s="20" t="s">
        <v>133</v>
      </c>
      <c r="C100" s="20" t="s">
        <v>135</v>
      </c>
      <c r="D100" s="20" t="s">
        <v>1137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1137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1137</v>
      </c>
      <c r="E102" s="20" t="s">
        <v>145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1137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1137</v>
      </c>
      <c r="E104" s="20" t="s">
        <v>149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883</v>
      </c>
      <c r="B105" s="20" t="s">
        <v>133</v>
      </c>
      <c r="C105" s="20" t="s">
        <v>135</v>
      </c>
      <c r="D105" s="20" t="s">
        <v>1135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1135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1135</v>
      </c>
      <c r="E107" s="20" t="s">
        <v>145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989</v>
      </c>
      <c r="B108" s="7" t="s">
        <v>133</v>
      </c>
      <c r="C108" s="7" t="s">
        <v>135</v>
      </c>
      <c r="D108" s="7" t="s">
        <v>903</v>
      </c>
      <c r="E108" s="7"/>
      <c r="F108" s="4">
        <f>F109+F116</f>
        <v>12763.5</v>
      </c>
      <c r="G108" s="4">
        <f>G109+G116</f>
        <v>13637.5</v>
      </c>
    </row>
    <row r="109" spans="1:7" ht="31.5" x14ac:dyDescent="0.25">
      <c r="A109" s="29" t="s">
        <v>965</v>
      </c>
      <c r="B109" s="40" t="s">
        <v>133</v>
      </c>
      <c r="C109" s="40" t="s">
        <v>135</v>
      </c>
      <c r="D109" s="40" t="s">
        <v>904</v>
      </c>
      <c r="E109" s="40"/>
      <c r="F109" s="6">
        <f>F110+F112+F114</f>
        <v>12428.5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904</v>
      </c>
      <c r="E110" s="40" t="s">
        <v>143</v>
      </c>
      <c r="F110" s="6">
        <f>F111</f>
        <v>11600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904</v>
      </c>
      <c r="E111" s="40" t="s">
        <v>145</v>
      </c>
      <c r="F111" s="6">
        <f>'пр.5.1.ведом.21-22'!G92+'пр.5.1.ведом.21-22'!G16</f>
        <v>11600</v>
      </c>
      <c r="G111" s="6">
        <f>'пр.5.1.ведом.21-22'!H92+'пр.5.1.ведом.21-22'!H16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904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904</v>
      </c>
      <c r="E113" s="40" t="s">
        <v>149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904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904</v>
      </c>
      <c r="E115" s="40" t="s">
        <v>153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883</v>
      </c>
      <c r="B116" s="20" t="s">
        <v>133</v>
      </c>
      <c r="C116" s="20" t="s">
        <v>135</v>
      </c>
      <c r="D116" s="20" t="s">
        <v>906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906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906</v>
      </c>
      <c r="E118" s="20" t="s">
        <v>145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10" customFormat="1" ht="15.75" hidden="1" customHeight="1" x14ac:dyDescent="0.25">
      <c r="A119" s="23" t="s">
        <v>1361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10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910</v>
      </c>
      <c r="E120" s="20"/>
      <c r="F120" s="21">
        <f t="shared" si="6"/>
        <v>0</v>
      </c>
      <c r="G120" s="21">
        <f t="shared" si="6"/>
        <v>0</v>
      </c>
    </row>
    <row r="121" spans="1:7" s="210" customFormat="1" ht="31.7" hidden="1" customHeight="1" x14ac:dyDescent="0.25">
      <c r="A121" s="23" t="s">
        <v>914</v>
      </c>
      <c r="B121" s="24" t="s">
        <v>133</v>
      </c>
      <c r="C121" s="24" t="s">
        <v>279</v>
      </c>
      <c r="D121" s="24" t="s">
        <v>909</v>
      </c>
      <c r="E121" s="20"/>
      <c r="F121" s="21">
        <f t="shared" si="6"/>
        <v>0</v>
      </c>
      <c r="G121" s="21">
        <f t="shared" si="6"/>
        <v>0</v>
      </c>
    </row>
    <row r="122" spans="1:7" s="210" customFormat="1" ht="31.7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1360</v>
      </c>
      <c r="E122" s="20"/>
      <c r="F122" s="26">
        <f>F123+F125</f>
        <v>0</v>
      </c>
      <c r="G122" s="26">
        <f>G123+G125</f>
        <v>0</v>
      </c>
    </row>
    <row r="123" spans="1:7" s="210" customFormat="1" ht="94.7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1360</v>
      </c>
      <c r="E123" s="20" t="s">
        <v>143</v>
      </c>
      <c r="F123" s="26">
        <f>F124</f>
        <v>0</v>
      </c>
      <c r="G123" s="26">
        <f>G124</f>
        <v>0</v>
      </c>
    </row>
    <row r="124" spans="1:7" s="210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1360</v>
      </c>
      <c r="E124" s="20" t="s">
        <v>145</v>
      </c>
      <c r="F124" s="26">
        <f>'пр.5.1.ведом.21-22'!G101</f>
        <v>0</v>
      </c>
      <c r="G124" s="26">
        <f>'пр.5.1.ведом.21-22'!H101</f>
        <v>0</v>
      </c>
    </row>
    <row r="125" spans="1:7" s="210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1360</v>
      </c>
      <c r="E125" s="20" t="s">
        <v>147</v>
      </c>
      <c r="F125" s="26">
        <f>F126</f>
        <v>0</v>
      </c>
      <c r="G125" s="26">
        <f>G126</f>
        <v>0</v>
      </c>
    </row>
    <row r="126" spans="1:7" s="210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1360</v>
      </c>
      <c r="E126" s="20" t="s">
        <v>149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910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1088</v>
      </c>
      <c r="B129" s="24" t="s">
        <v>133</v>
      </c>
      <c r="C129" s="24" t="s">
        <v>155</v>
      </c>
      <c r="D129" s="24" t="s">
        <v>1087</v>
      </c>
      <c r="E129" s="24"/>
      <c r="F129" s="295">
        <f>F133+F130</f>
        <v>38273</v>
      </c>
      <c r="G129" s="295">
        <f>G133+G130</f>
        <v>38273</v>
      </c>
    </row>
    <row r="130" spans="1:7" ht="47.25" x14ac:dyDescent="0.25">
      <c r="A130" s="25" t="s">
        <v>883</v>
      </c>
      <c r="B130" s="20" t="s">
        <v>133</v>
      </c>
      <c r="C130" s="20" t="s">
        <v>155</v>
      </c>
      <c r="D130" s="20" t="s">
        <v>1090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1090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1090</v>
      </c>
      <c r="E132" s="20" t="s">
        <v>224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832</v>
      </c>
      <c r="B133" s="20" t="s">
        <v>133</v>
      </c>
      <c r="C133" s="20" t="s">
        <v>155</v>
      </c>
      <c r="D133" s="20" t="s">
        <v>1089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1089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1089</v>
      </c>
      <c r="E135" s="20" t="s">
        <v>224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1089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1089</v>
      </c>
      <c r="E137" s="20" t="s">
        <v>149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1089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725</v>
      </c>
      <c r="B139" s="20" t="s">
        <v>133</v>
      </c>
      <c r="C139" s="20" t="s">
        <v>155</v>
      </c>
      <c r="D139" s="20" t="s">
        <v>1089</v>
      </c>
      <c r="E139" s="20" t="s">
        <v>153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914</v>
      </c>
      <c r="B140" s="24" t="s">
        <v>133</v>
      </c>
      <c r="C140" s="24" t="s">
        <v>155</v>
      </c>
      <c r="D140" s="24" t="s">
        <v>909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1167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1167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1167</v>
      </c>
      <c r="E143" s="20" t="s">
        <v>149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1002</v>
      </c>
      <c r="B144" s="20" t="s">
        <v>133</v>
      </c>
      <c r="C144" s="20" t="s">
        <v>155</v>
      </c>
      <c r="D144" s="20" t="s">
        <v>1168</v>
      </c>
      <c r="E144" s="20"/>
      <c r="F144" s="6">
        <f>'Пр.3 Рд,пр, ЦС,ВР 20'!F172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'Пр.3 Рд,пр, ЦС,ВР 20'!F173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'Пр.3 Рд,пр, ЦС,ВР 20'!F174</f>
        <v>0</v>
      </c>
      <c r="G146" s="6">
        <f t="shared" ref="G146:G212" si="7">F146</f>
        <v>0</v>
      </c>
    </row>
    <row r="147" spans="1:7" s="210" customFormat="1" ht="15.75" x14ac:dyDescent="0.25">
      <c r="A147" s="25" t="s">
        <v>1349</v>
      </c>
      <c r="B147" s="20" t="s">
        <v>133</v>
      </c>
      <c r="C147" s="20" t="s">
        <v>155</v>
      </c>
      <c r="D147" s="20" t="s">
        <v>1350</v>
      </c>
      <c r="E147" s="20"/>
      <c r="F147" s="26">
        <f>F148</f>
        <v>7519.5</v>
      </c>
      <c r="G147" s="26">
        <f>G148</f>
        <v>15374.1</v>
      </c>
    </row>
    <row r="148" spans="1:7" s="210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1350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10" customFormat="1" ht="15.75" x14ac:dyDescent="0.25">
      <c r="A149" s="25" t="s">
        <v>1349</v>
      </c>
      <c r="B149" s="20" t="s">
        <v>133</v>
      </c>
      <c r="C149" s="20" t="s">
        <v>155</v>
      </c>
      <c r="D149" s="20" t="s">
        <v>1350</v>
      </c>
      <c r="E149" s="20" t="s">
        <v>1351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993</v>
      </c>
      <c r="B150" s="24" t="s">
        <v>133</v>
      </c>
      <c r="C150" s="24" t="s">
        <v>155</v>
      </c>
      <c r="D150" s="24" t="s">
        <v>911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999</v>
      </c>
      <c r="B151" s="20" t="s">
        <v>133</v>
      </c>
      <c r="C151" s="20" t="s">
        <v>155</v>
      </c>
      <c r="D151" s="20" t="s">
        <v>912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912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912</v>
      </c>
      <c r="E153" s="20" t="s">
        <v>224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912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912</v>
      </c>
      <c r="E155" s="20" t="s">
        <v>149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883</v>
      </c>
      <c r="B156" s="20" t="s">
        <v>133</v>
      </c>
      <c r="C156" s="20" t="s">
        <v>155</v>
      </c>
      <c r="D156" s="20" t="s">
        <v>913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913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913</v>
      </c>
      <c r="E158" s="20" t="s">
        <v>145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1415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110.25" x14ac:dyDescent="0.25">
      <c r="A160" s="41" t="s">
        <v>1442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59" t="s">
        <v>1217</v>
      </c>
      <c r="B161" s="7" t="s">
        <v>133</v>
      </c>
      <c r="C161" s="7" t="s">
        <v>155</v>
      </c>
      <c r="D161" s="7" t="s">
        <v>931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1218</v>
      </c>
      <c r="B162" s="40" t="s">
        <v>133</v>
      </c>
      <c r="C162" s="40" t="s">
        <v>155</v>
      </c>
      <c r="D162" s="40" t="s">
        <v>932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932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932</v>
      </c>
      <c r="E164" s="40" t="s">
        <v>149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934</v>
      </c>
      <c r="B165" s="20" t="s">
        <v>133</v>
      </c>
      <c r="C165" s="20" t="s">
        <v>155</v>
      </c>
      <c r="D165" s="20" t="s">
        <v>933</v>
      </c>
      <c r="E165" s="24"/>
      <c r="F165" s="6">
        <f>'Пр.3 Рд,пр, ЦС,ВР 20'!F193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933</v>
      </c>
      <c r="E166" s="20" t="s">
        <v>147</v>
      </c>
      <c r="F166" s="6">
        <f>'Пр.3 Рд,пр, ЦС,ВР 20'!F194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933</v>
      </c>
      <c r="E167" s="20" t="s">
        <v>149</v>
      </c>
      <c r="F167" s="6">
        <f>'Пр.3 Рд,пр, ЦС,ВР 20'!F195</f>
        <v>0</v>
      </c>
      <c r="G167" s="6">
        <f t="shared" si="7"/>
        <v>0</v>
      </c>
    </row>
    <row r="168" spans="1:7" ht="63" x14ac:dyDescent="0.25">
      <c r="A168" s="23" t="s">
        <v>1416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1223</v>
      </c>
      <c r="B169" s="24" t="s">
        <v>133</v>
      </c>
      <c r="C169" s="24" t="s">
        <v>155</v>
      </c>
      <c r="D169" s="24" t="s">
        <v>1224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1225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1225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1225</v>
      </c>
      <c r="E172" s="20" t="s">
        <v>149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831</v>
      </c>
      <c r="B173" s="20" t="s">
        <v>133</v>
      </c>
      <c r="C173" s="20" t="s">
        <v>155</v>
      </c>
      <c r="D173" s="20" t="s">
        <v>1230</v>
      </c>
      <c r="E173" s="20"/>
      <c r="F173" s="6">
        <f>'Пр.3 Рд,пр, ЦС,ВР 20'!F201</f>
        <v>0</v>
      </c>
      <c r="G173" s="6">
        <f>'Пр.3 Рд,пр, ЦС,ВР 20'!G201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1230</v>
      </c>
      <c r="E174" s="20" t="s">
        <v>147</v>
      </c>
      <c r="F174" s="6">
        <f>'Пр.3 Рд,пр, ЦС,ВР 20'!F202</f>
        <v>0</v>
      </c>
      <c r="G174" s="6">
        <f>'Пр.3 Рд,пр, ЦС,ВР 20'!G202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1230</v>
      </c>
      <c r="E175" s="20" t="s">
        <v>149</v>
      </c>
      <c r="F175" s="6">
        <f>'Пр.3 Рд,пр, ЦС,ВР 20'!F203</f>
        <v>0</v>
      </c>
      <c r="G175" s="6">
        <f>'Пр.3 Рд,пр, ЦС,ВР 20'!G203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1226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1226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1226</v>
      </c>
      <c r="E178" s="20" t="s">
        <v>149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792</v>
      </c>
      <c r="B179" s="20" t="s">
        <v>133</v>
      </c>
      <c r="C179" s="20" t="s">
        <v>155</v>
      </c>
      <c r="D179" s="20" t="s">
        <v>1227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1227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1227</v>
      </c>
      <c r="E181" s="20" t="s">
        <v>149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1142</v>
      </c>
      <c r="B182" s="20" t="s">
        <v>133</v>
      </c>
      <c r="C182" s="20" t="s">
        <v>155</v>
      </c>
      <c r="D182" s="20" t="s">
        <v>1228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146</v>
      </c>
      <c r="B183" s="20" t="s">
        <v>133</v>
      </c>
      <c r="C183" s="20" t="s">
        <v>155</v>
      </c>
      <c r="D183" s="20" t="s">
        <v>1228</v>
      </c>
      <c r="E183" s="20" t="s">
        <v>147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148</v>
      </c>
      <c r="B184" s="20" t="s">
        <v>133</v>
      </c>
      <c r="C184" s="20" t="s">
        <v>155</v>
      </c>
      <c r="D184" s="20" t="s">
        <v>1228</v>
      </c>
      <c r="E184" s="20" t="s">
        <v>149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1257</v>
      </c>
      <c r="B185" s="20" t="s">
        <v>133</v>
      </c>
      <c r="C185" s="20" t="s">
        <v>155</v>
      </c>
      <c r="D185" s="20" t="s">
        <v>1258</v>
      </c>
      <c r="E185" s="20"/>
      <c r="F185" s="6">
        <f>'Пр.3 Рд,пр, ЦС,ВР 20'!F213</f>
        <v>0</v>
      </c>
      <c r="G185" s="6">
        <f>'Пр.3 Рд,пр, ЦС,ВР 20'!G213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1258</v>
      </c>
      <c r="E186" s="20" t="s">
        <v>147</v>
      </c>
      <c r="F186" s="6">
        <f>'Пр.3 Рд,пр, ЦС,ВР 20'!F214</f>
        <v>0</v>
      </c>
      <c r="G186" s="6">
        <f>'Пр.3 Рд,пр, ЦС,ВР 20'!G214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1258</v>
      </c>
      <c r="E187" s="20" t="s">
        <v>149</v>
      </c>
      <c r="F187" s="6">
        <f>'Пр.3 Рд,пр, ЦС,ВР 20'!F215</f>
        <v>0</v>
      </c>
      <c r="G187" s="6">
        <f>'Пр.3 Рд,пр, ЦС,ВР 20'!G215</f>
        <v>0</v>
      </c>
    </row>
    <row r="188" spans="1:7" ht="31.5" x14ac:dyDescent="0.25">
      <c r="A188" s="31" t="s">
        <v>793</v>
      </c>
      <c r="B188" s="20" t="s">
        <v>133</v>
      </c>
      <c r="C188" s="20" t="s">
        <v>155</v>
      </c>
      <c r="D188" s="20" t="s">
        <v>1229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1229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1229</v>
      </c>
      <c r="E190" s="20" t="s">
        <v>149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1417</v>
      </c>
      <c r="B191" s="8" t="s">
        <v>133</v>
      </c>
      <c r="C191" s="8" t="s">
        <v>155</v>
      </c>
      <c r="D191" s="24" t="s">
        <v>726</v>
      </c>
      <c r="E191" s="228"/>
      <c r="F191" s="59">
        <f>F192+F196</f>
        <v>45</v>
      </c>
      <c r="G191" s="59">
        <f>G192+G196</f>
        <v>45</v>
      </c>
    </row>
    <row r="192" spans="1:7" ht="63" x14ac:dyDescent="0.25">
      <c r="A192" s="216" t="s">
        <v>890</v>
      </c>
      <c r="B192" s="24" t="s">
        <v>133</v>
      </c>
      <c r="C192" s="24" t="s">
        <v>155</v>
      </c>
      <c r="D192" s="24" t="s">
        <v>896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797</v>
      </c>
      <c r="B193" s="20" t="s">
        <v>133</v>
      </c>
      <c r="C193" s="20" t="s">
        <v>155</v>
      </c>
      <c r="D193" s="20" t="s">
        <v>891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891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891</v>
      </c>
      <c r="E195" s="20" t="s">
        <v>149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17" t="s">
        <v>1186</v>
      </c>
      <c r="B196" s="24" t="s">
        <v>133</v>
      </c>
      <c r="C196" s="24" t="s">
        <v>155</v>
      </c>
      <c r="D196" s="24" t="s">
        <v>897</v>
      </c>
      <c r="E196" s="228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798</v>
      </c>
      <c r="B197" s="20" t="s">
        <v>133</v>
      </c>
      <c r="C197" s="20" t="s">
        <v>155</v>
      </c>
      <c r="D197" s="20" t="s">
        <v>892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892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892</v>
      </c>
      <c r="E199" s="32" t="s">
        <v>149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22" t="s">
        <v>1421</v>
      </c>
      <c r="B200" s="24" t="s">
        <v>133</v>
      </c>
      <c r="C200" s="24" t="s">
        <v>155</v>
      </c>
      <c r="D200" s="24" t="s">
        <v>804</v>
      </c>
      <c r="E200" s="228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1001</v>
      </c>
      <c r="B201" s="24" t="s">
        <v>133</v>
      </c>
      <c r="C201" s="24" t="s">
        <v>155</v>
      </c>
      <c r="D201" s="24" t="s">
        <v>1180</v>
      </c>
      <c r="E201" s="228"/>
      <c r="F201" s="59">
        <f t="shared" ref="F201:G203" si="9">F202</f>
        <v>3266.2200000000003</v>
      </c>
      <c r="G201" s="59">
        <f t="shared" si="9"/>
        <v>239.82000000000016</v>
      </c>
    </row>
    <row r="202" spans="1:7" ht="47.25" x14ac:dyDescent="0.25">
      <c r="A202" s="193" t="s">
        <v>814</v>
      </c>
      <c r="B202" s="20" t="s">
        <v>133</v>
      </c>
      <c r="C202" s="20" t="s">
        <v>155</v>
      </c>
      <c r="D202" s="20" t="s">
        <v>1181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3" t="s">
        <v>146</v>
      </c>
      <c r="B203" s="20" t="s">
        <v>133</v>
      </c>
      <c r="C203" s="20" t="s">
        <v>155</v>
      </c>
      <c r="D203" s="20" t="s">
        <v>1181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3" t="s">
        <v>148</v>
      </c>
      <c r="B204" s="20" t="s">
        <v>133</v>
      </c>
      <c r="C204" s="20" t="s">
        <v>155</v>
      </c>
      <c r="D204" s="20" t="s">
        <v>1181</v>
      </c>
      <c r="E204" s="32" t="s">
        <v>149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1412</v>
      </c>
      <c r="B205" s="8" t="s">
        <v>133</v>
      </c>
      <c r="C205" s="8" t="s">
        <v>155</v>
      </c>
      <c r="D205" s="250" t="s">
        <v>859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18" t="s">
        <v>898</v>
      </c>
      <c r="B206" s="8" t="s">
        <v>133</v>
      </c>
      <c r="C206" s="8" t="s">
        <v>155</v>
      </c>
      <c r="D206" s="206" t="s">
        <v>1260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899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899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899</v>
      </c>
      <c r="E209" s="9" t="s">
        <v>149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1411</v>
      </c>
      <c r="B210" s="8" t="s">
        <v>133</v>
      </c>
      <c r="C210" s="8" t="s">
        <v>155</v>
      </c>
      <c r="D210" s="206" t="s">
        <v>860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900</v>
      </c>
      <c r="B211" s="8" t="s">
        <v>133</v>
      </c>
      <c r="C211" s="8" t="s">
        <v>155</v>
      </c>
      <c r="D211" s="206" t="s">
        <v>908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865</v>
      </c>
      <c r="B212" s="9" t="s">
        <v>133</v>
      </c>
      <c r="C212" s="9" t="s">
        <v>155</v>
      </c>
      <c r="D212" s="5" t="s">
        <v>901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901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901</v>
      </c>
      <c r="E214" s="9" t="s">
        <v>149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910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914</v>
      </c>
      <c r="B218" s="24" t="s">
        <v>228</v>
      </c>
      <c r="C218" s="24" t="s">
        <v>234</v>
      </c>
      <c r="D218" s="24" t="s">
        <v>909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915</v>
      </c>
      <c r="E219" s="20"/>
      <c r="F219" s="6">
        <f>'Пр.3 Рд,пр, ЦС,ВР 20'!F247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915</v>
      </c>
      <c r="E220" s="20" t="s">
        <v>147</v>
      </c>
      <c r="F220" s="6">
        <f>'Пр.3 Рд,пр, ЦС,ВР 20'!F248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915</v>
      </c>
      <c r="E221" s="20" t="s">
        <v>149</v>
      </c>
      <c r="F221" s="6">
        <f>'Пр.3 Рд,пр, ЦС,ВР 20'!F249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910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914</v>
      </c>
      <c r="B225" s="24" t="s">
        <v>230</v>
      </c>
      <c r="C225" s="24" t="s">
        <v>234</v>
      </c>
      <c r="D225" s="24" t="s">
        <v>909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919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919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919</v>
      </c>
      <c r="E228" s="20" t="s">
        <v>149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920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920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920</v>
      </c>
      <c r="E231" s="20" t="s">
        <v>149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994</v>
      </c>
      <c r="B232" s="24" t="s">
        <v>230</v>
      </c>
      <c r="C232" s="24" t="s">
        <v>234</v>
      </c>
      <c r="D232" s="24" t="s">
        <v>916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998</v>
      </c>
      <c r="B233" s="20" t="s">
        <v>230</v>
      </c>
      <c r="C233" s="20" t="s">
        <v>234</v>
      </c>
      <c r="D233" s="20" t="s">
        <v>917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917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917</v>
      </c>
      <c r="E235" s="20" t="s">
        <v>224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917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917</v>
      </c>
      <c r="E237" s="20" t="s">
        <v>149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883</v>
      </c>
      <c r="B238" s="20" t="s">
        <v>230</v>
      </c>
      <c r="C238" s="20" t="s">
        <v>234</v>
      </c>
      <c r="D238" s="20" t="s">
        <v>918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918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918</v>
      </c>
      <c r="E240" s="20" t="s">
        <v>145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1431</v>
      </c>
      <c r="B243" s="24" t="s">
        <v>165</v>
      </c>
      <c r="C243" s="24" t="s">
        <v>249</v>
      </c>
      <c r="D243" s="206" t="s">
        <v>197</v>
      </c>
      <c r="E243" s="228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1157</v>
      </c>
      <c r="B244" s="24" t="s">
        <v>165</v>
      </c>
      <c r="C244" s="24" t="s">
        <v>249</v>
      </c>
      <c r="D244" s="260" t="s">
        <v>921</v>
      </c>
      <c r="E244" s="228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922</v>
      </c>
      <c r="B245" s="20" t="s">
        <v>165</v>
      </c>
      <c r="C245" s="20" t="s">
        <v>249</v>
      </c>
      <c r="D245" s="20" t="s">
        <v>966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966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966</v>
      </c>
      <c r="E247" s="32" t="s">
        <v>175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925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925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925</v>
      </c>
      <c r="E250" s="20" t="s">
        <v>175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19" t="s">
        <v>1158</v>
      </c>
      <c r="B251" s="24" t="s">
        <v>165</v>
      </c>
      <c r="C251" s="24" t="s">
        <v>249</v>
      </c>
      <c r="D251" s="206" t="s">
        <v>924</v>
      </c>
      <c r="E251" s="228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923</v>
      </c>
      <c r="B252" s="20" t="s">
        <v>165</v>
      </c>
      <c r="C252" s="20" t="s">
        <v>249</v>
      </c>
      <c r="D252" s="5" t="s">
        <v>967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967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967</v>
      </c>
      <c r="E254" s="32" t="s">
        <v>175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910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914</v>
      </c>
      <c r="B257" s="24" t="s">
        <v>165</v>
      </c>
      <c r="C257" s="24" t="s">
        <v>314</v>
      </c>
      <c r="D257" s="24" t="s">
        <v>909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1091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1091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1091</v>
      </c>
      <c r="E260" s="20" t="s">
        <v>149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1427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1148</v>
      </c>
      <c r="B263" s="24" t="s">
        <v>165</v>
      </c>
      <c r="C263" s="24" t="s">
        <v>234</v>
      </c>
      <c r="D263" s="7" t="s">
        <v>1092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1150</v>
      </c>
      <c r="B264" s="20" t="s">
        <v>165</v>
      </c>
      <c r="C264" s="20" t="s">
        <v>234</v>
      </c>
      <c r="D264" s="40" t="s">
        <v>1149</v>
      </c>
      <c r="E264" s="20"/>
      <c r="F264" s="6">
        <f>'Пр.3 Рд,пр, ЦС,ВР 20'!F292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1149</v>
      </c>
      <c r="E265" s="20" t="s">
        <v>147</v>
      </c>
      <c r="F265" s="6">
        <f>'Пр.3 Рд,пр, ЦС,ВР 20'!F293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1149</v>
      </c>
      <c r="E266" s="20" t="s">
        <v>149</v>
      </c>
      <c r="F266" s="6">
        <f>'Пр.3 Рд,пр, ЦС,ВР 20'!F294</f>
        <v>0</v>
      </c>
      <c r="G266" s="6">
        <f t="shared" si="12"/>
        <v>0</v>
      </c>
    </row>
    <row r="267" spans="1:7" ht="47.25" x14ac:dyDescent="0.25">
      <c r="A267" s="34" t="s">
        <v>1235</v>
      </c>
      <c r="B267" s="24" t="s">
        <v>165</v>
      </c>
      <c r="C267" s="24" t="s">
        <v>234</v>
      </c>
      <c r="D267" s="24" t="s">
        <v>1093</v>
      </c>
      <c r="E267" s="24"/>
      <c r="F267" s="295">
        <f t="shared" ref="F267:G269" si="19">F268</f>
        <v>3189</v>
      </c>
      <c r="G267" s="295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1151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1151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1151</v>
      </c>
      <c r="E270" s="20" t="s">
        <v>149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1151</v>
      </c>
      <c r="E271" s="20" t="s">
        <v>160</v>
      </c>
      <c r="F271" s="6">
        <f>'Пр.3 Рд,пр, ЦС,ВР 20'!F301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1151</v>
      </c>
      <c r="E272" s="20" t="s">
        <v>153</v>
      </c>
      <c r="F272" s="6">
        <f>'Пр.3 Рд,пр, ЦС,ВР 20'!F302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988</v>
      </c>
      <c r="B274" s="24" t="s">
        <v>165</v>
      </c>
      <c r="C274" s="24" t="s">
        <v>253</v>
      </c>
      <c r="D274" s="24" t="s">
        <v>902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930</v>
      </c>
      <c r="B275" s="24" t="s">
        <v>165</v>
      </c>
      <c r="C275" s="24" t="s">
        <v>253</v>
      </c>
      <c r="D275" s="24" t="s">
        <v>907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995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995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995</v>
      </c>
      <c r="E278" s="20" t="s">
        <v>145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995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995</v>
      </c>
      <c r="E280" s="20" t="s">
        <v>149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1415</v>
      </c>
      <c r="B281" s="24" t="s">
        <v>165</v>
      </c>
      <c r="C281" s="24" t="s">
        <v>253</v>
      </c>
      <c r="D281" s="24" t="s">
        <v>359</v>
      </c>
      <c r="E281" s="228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20" t="s">
        <v>1209</v>
      </c>
      <c r="B283" s="24" t="s">
        <v>165</v>
      </c>
      <c r="C283" s="24" t="s">
        <v>253</v>
      </c>
      <c r="D283" s="24" t="s">
        <v>935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1210</v>
      </c>
      <c r="E284" s="20"/>
      <c r="F284" s="6">
        <f>'Пр.3 Рд,пр, ЦС,ВР 20'!F319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1210</v>
      </c>
      <c r="E285" s="20" t="s">
        <v>264</v>
      </c>
      <c r="F285" s="6">
        <f>'Пр.3 Рд,пр, ЦС,ВР 20'!F320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1210</v>
      </c>
      <c r="E286" s="20" t="s">
        <v>266</v>
      </c>
      <c r="F286" s="6">
        <f>'Пр.3 Рд,пр, ЦС,ВР 20'!F321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1211</v>
      </c>
      <c r="E287" s="20"/>
      <c r="F287" s="6">
        <f>'Пр.3 Рд,пр, ЦС,ВР 20'!F322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1211</v>
      </c>
      <c r="E288" s="20" t="s">
        <v>264</v>
      </c>
      <c r="F288" s="6">
        <f>'Пр.3 Рд,пр, ЦС,ВР 20'!F323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1211</v>
      </c>
      <c r="E289" s="20" t="s">
        <v>266</v>
      </c>
      <c r="F289" s="6">
        <f>'Пр.3 Рд,пр, ЦС,ВР 20'!F324</f>
        <v>0</v>
      </c>
      <c r="G289" s="6">
        <f t="shared" si="20"/>
        <v>0</v>
      </c>
    </row>
    <row r="290" spans="1:7" ht="47.25" x14ac:dyDescent="0.25">
      <c r="A290" s="23" t="s">
        <v>1207</v>
      </c>
      <c r="B290" s="24" t="s">
        <v>165</v>
      </c>
      <c r="C290" s="24" t="s">
        <v>253</v>
      </c>
      <c r="D290" s="24" t="s">
        <v>936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1208</v>
      </c>
      <c r="B291" s="20" t="s">
        <v>165</v>
      </c>
      <c r="C291" s="20" t="s">
        <v>253</v>
      </c>
      <c r="D291" s="20" t="s">
        <v>1212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1212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1212</v>
      </c>
      <c r="E293" s="20" t="s">
        <v>175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1213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1213</v>
      </c>
      <c r="E295" s="20" t="s">
        <v>160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1213</v>
      </c>
      <c r="E296" s="20" t="s">
        <v>175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1143</v>
      </c>
      <c r="B297" s="24" t="s">
        <v>165</v>
      </c>
      <c r="C297" s="24" t="s">
        <v>253</v>
      </c>
      <c r="D297" s="24" t="s">
        <v>937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61" t="s">
        <v>1216</v>
      </c>
      <c r="B298" s="20" t="s">
        <v>165</v>
      </c>
      <c r="C298" s="20" t="s">
        <v>253</v>
      </c>
      <c r="D298" s="20" t="s">
        <v>1214</v>
      </c>
      <c r="E298" s="20"/>
      <c r="F298" s="6">
        <f>'Пр.3 Рд,пр, ЦС,ВР 20'!F333</f>
        <v>0</v>
      </c>
      <c r="G298" s="6">
        <f t="shared" si="20"/>
        <v>0</v>
      </c>
    </row>
    <row r="299" spans="1:7" ht="31.5" x14ac:dyDescent="0.25">
      <c r="A299" s="25" t="s">
        <v>146</v>
      </c>
      <c r="B299" s="20" t="s">
        <v>165</v>
      </c>
      <c r="C299" s="20" t="s">
        <v>253</v>
      </c>
      <c r="D299" s="20" t="s">
        <v>1214</v>
      </c>
      <c r="E299" s="20" t="s">
        <v>147</v>
      </c>
      <c r="F299" s="6">
        <f>'Пр.3 Рд,пр, ЦС,ВР 20'!F334</f>
        <v>0</v>
      </c>
      <c r="G299" s="6">
        <f t="shared" si="20"/>
        <v>0</v>
      </c>
    </row>
    <row r="300" spans="1:7" ht="47.25" x14ac:dyDescent="0.25">
      <c r="A300" s="25" t="s">
        <v>148</v>
      </c>
      <c r="B300" s="20" t="s">
        <v>165</v>
      </c>
      <c r="C300" s="20" t="s">
        <v>253</v>
      </c>
      <c r="D300" s="20" t="s">
        <v>1214</v>
      </c>
      <c r="E300" s="20" t="s">
        <v>149</v>
      </c>
      <c r="F300" s="6">
        <f>'Пр.3 Рд,пр, ЦС,ВР 20'!F335</f>
        <v>0</v>
      </c>
      <c r="G300" s="6">
        <f t="shared" si="20"/>
        <v>0</v>
      </c>
    </row>
    <row r="301" spans="1:7" ht="47.25" x14ac:dyDescent="0.25">
      <c r="A301" s="25" t="s">
        <v>392</v>
      </c>
      <c r="B301" s="20" t="s">
        <v>165</v>
      </c>
      <c r="C301" s="20" t="s">
        <v>253</v>
      </c>
      <c r="D301" s="20" t="s">
        <v>1215</v>
      </c>
      <c r="E301" s="20"/>
      <c r="F301" s="6">
        <f>'Пр.3 Рд,пр, ЦС,ВР 20'!F336</f>
        <v>0</v>
      </c>
      <c r="G301" s="6">
        <f t="shared" si="20"/>
        <v>0</v>
      </c>
    </row>
    <row r="302" spans="1:7" ht="31.5" x14ac:dyDescent="0.25">
      <c r="A302" s="25" t="s">
        <v>146</v>
      </c>
      <c r="B302" s="20" t="s">
        <v>165</v>
      </c>
      <c r="C302" s="20" t="s">
        <v>253</v>
      </c>
      <c r="D302" s="20" t="s">
        <v>1215</v>
      </c>
      <c r="E302" s="20" t="s">
        <v>147</v>
      </c>
      <c r="F302" s="6">
        <f>'Пр.3 Рд,пр, ЦС,ВР 20'!F337</f>
        <v>0</v>
      </c>
      <c r="G302" s="6">
        <f t="shared" si="20"/>
        <v>0</v>
      </c>
    </row>
    <row r="303" spans="1:7" ht="47.25" x14ac:dyDescent="0.25">
      <c r="A303" s="25" t="s">
        <v>148</v>
      </c>
      <c r="B303" s="20" t="s">
        <v>165</v>
      </c>
      <c r="C303" s="20" t="s">
        <v>253</v>
      </c>
      <c r="D303" s="20" t="s">
        <v>1215</v>
      </c>
      <c r="E303" s="20" t="s">
        <v>149</v>
      </c>
      <c r="F303" s="6">
        <f>'Пр.3 Рд,пр, ЦС,ВР 20'!F338</f>
        <v>0</v>
      </c>
      <c r="G303" s="6">
        <f t="shared" si="20"/>
        <v>0</v>
      </c>
    </row>
    <row r="304" spans="1:7" s="210" customFormat="1" ht="47.25" x14ac:dyDescent="0.25">
      <c r="A304" s="217" t="s">
        <v>1304</v>
      </c>
      <c r="B304" s="24" t="s">
        <v>165</v>
      </c>
      <c r="C304" s="24" t="s">
        <v>253</v>
      </c>
      <c r="D304" s="24" t="s">
        <v>1303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10" customFormat="1" ht="31.5" x14ac:dyDescent="0.25">
      <c r="A305" s="239" t="s">
        <v>1305</v>
      </c>
      <c r="B305" s="20" t="s">
        <v>165</v>
      </c>
      <c r="C305" s="20" t="s">
        <v>253</v>
      </c>
      <c r="D305" s="20" t="s">
        <v>1352</v>
      </c>
      <c r="E305" s="20"/>
      <c r="F305" s="26">
        <f t="shared" si="21"/>
        <v>10</v>
      </c>
      <c r="G305" s="6">
        <f t="shared" si="21"/>
        <v>10</v>
      </c>
    </row>
    <row r="306" spans="1:7" s="210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1352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10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1352</v>
      </c>
      <c r="E307" s="20" t="s">
        <v>149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1432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1241</v>
      </c>
      <c r="B309" s="24" t="s">
        <v>165</v>
      </c>
      <c r="C309" s="24" t="s">
        <v>253</v>
      </c>
      <c r="D309" s="24" t="s">
        <v>1238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1242</v>
      </c>
      <c r="B310" s="20" t="s">
        <v>165</v>
      </c>
      <c r="C310" s="20" t="s">
        <v>253</v>
      </c>
      <c r="D310" s="20" t="s">
        <v>1239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1239</v>
      </c>
      <c r="E311" s="20" t="s">
        <v>160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1239</v>
      </c>
      <c r="E312" s="20" t="s">
        <v>175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1240</v>
      </c>
      <c r="E313" s="24"/>
      <c r="F313" s="6">
        <f>'Пр.3 Рд,пр, ЦС,ВР 20'!F348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1240</v>
      </c>
      <c r="E314" s="20" t="s">
        <v>160</v>
      </c>
      <c r="F314" s="6">
        <f>'Пр.3 Рд,пр, ЦС,ВР 20'!F349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1240</v>
      </c>
      <c r="E315" s="20" t="s">
        <v>175</v>
      </c>
      <c r="F315" s="6">
        <f>'Пр.3 Рд,пр, ЦС,ВР 20'!F350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61026.5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910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914</v>
      </c>
      <c r="B319" s="24" t="s">
        <v>249</v>
      </c>
      <c r="C319" s="24" t="s">
        <v>133</v>
      </c>
      <c r="D319" s="24" t="s">
        <v>909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795</v>
      </c>
      <c r="C320" s="20" t="s">
        <v>133</v>
      </c>
      <c r="D320" s="20" t="s">
        <v>1094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1094</v>
      </c>
      <c r="E321" s="20" t="s">
        <v>147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1094</v>
      </c>
      <c r="E322" s="20" t="s">
        <v>149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1094</v>
      </c>
      <c r="E323" s="20" t="s">
        <v>160</v>
      </c>
      <c r="F323" s="6">
        <f>'Пр.3 Рд,пр, ЦС,ВР 20'!F358</f>
        <v>1000</v>
      </c>
      <c r="G323" s="6">
        <f t="shared" si="20"/>
        <v>1000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1094</v>
      </c>
      <c r="E324" s="20" t="s">
        <v>175</v>
      </c>
      <c r="F324" s="6">
        <f>'Пр.3 Рд,пр, ЦС,ВР 20'!F359</f>
        <v>1000</v>
      </c>
      <c r="G324" s="6">
        <f t="shared" si="20"/>
        <v>1000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1095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1095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1095</v>
      </c>
      <c r="E327" s="20" t="s">
        <v>149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1003</v>
      </c>
      <c r="B328" s="20" t="s">
        <v>249</v>
      </c>
      <c r="C328" s="20" t="s">
        <v>133</v>
      </c>
      <c r="D328" s="20" t="s">
        <v>1096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1096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1096</v>
      </c>
      <c r="E330" s="20" t="s">
        <v>149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910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914</v>
      </c>
      <c r="B333" s="24" t="s">
        <v>249</v>
      </c>
      <c r="C333" s="24" t="s">
        <v>228</v>
      </c>
      <c r="D333" s="24" t="s">
        <v>909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1113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1113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1113</v>
      </c>
      <c r="E336" s="20" t="s">
        <v>149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1113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1113</v>
      </c>
      <c r="E338" s="20" t="s">
        <v>175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1003</v>
      </c>
      <c r="B339" s="20" t="s">
        <v>249</v>
      </c>
      <c r="C339" s="20" t="s">
        <v>228</v>
      </c>
      <c r="D339" s="20" t="s">
        <v>1096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1096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1096</v>
      </c>
      <c r="E341" s="20" t="s">
        <v>149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1096</v>
      </c>
      <c r="E342" s="20" t="s">
        <v>160</v>
      </c>
      <c r="F342" s="6">
        <f>'Пр.3 Рд,пр, ЦС,ВР 20'!F383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1096</v>
      </c>
      <c r="E343" s="20" t="s">
        <v>162</v>
      </c>
      <c r="F343" s="6">
        <f>'Пр.3 Рд,пр, ЦС,ВР 20'!F384</f>
        <v>0</v>
      </c>
      <c r="G343" s="6">
        <f t="shared" si="20"/>
        <v>0</v>
      </c>
    </row>
    <row r="344" spans="1:7" ht="63" hidden="1" x14ac:dyDescent="0.25">
      <c r="A344" s="23" t="s">
        <v>1169</v>
      </c>
      <c r="B344" s="24" t="s">
        <v>249</v>
      </c>
      <c r="C344" s="24" t="s">
        <v>228</v>
      </c>
      <c r="D344" s="24" t="s">
        <v>1114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871</v>
      </c>
      <c r="B345" s="20" t="s">
        <v>249</v>
      </c>
      <c r="C345" s="20" t="s">
        <v>228</v>
      </c>
      <c r="D345" s="20" t="s">
        <v>1115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1115</v>
      </c>
      <c r="E346" s="20" t="s">
        <v>147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1115</v>
      </c>
      <c r="E347" s="20" t="s">
        <v>149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1115</v>
      </c>
      <c r="E348" s="20" t="s">
        <v>881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1115</v>
      </c>
      <c r="E349" s="20" t="s">
        <v>1244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822</v>
      </c>
      <c r="B350" s="20" t="s">
        <v>249</v>
      </c>
      <c r="C350" s="20" t="s">
        <v>228</v>
      </c>
      <c r="D350" s="20" t="s">
        <v>1116</v>
      </c>
      <c r="E350" s="20"/>
      <c r="F350" s="6">
        <f>'Пр.3 Рд,пр, ЦС,ВР 20'!F394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1116</v>
      </c>
      <c r="E351" s="20" t="s">
        <v>147</v>
      </c>
      <c r="F351" s="6">
        <f>'Пр.3 Рд,пр, ЦС,ВР 20'!F395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1116</v>
      </c>
      <c r="E352" s="20" t="s">
        <v>149</v>
      </c>
      <c r="F352" s="6">
        <f>'Пр.3 Рд,пр, ЦС,ВР 20'!F396</f>
        <v>0</v>
      </c>
      <c r="G352" s="6">
        <f t="shared" si="23"/>
        <v>0</v>
      </c>
    </row>
    <row r="353" spans="1:7" ht="63" hidden="1" x14ac:dyDescent="0.25">
      <c r="A353" s="98" t="s">
        <v>877</v>
      </c>
      <c r="B353" s="20" t="s">
        <v>249</v>
      </c>
      <c r="C353" s="20" t="s">
        <v>228</v>
      </c>
      <c r="D353" s="20" t="s">
        <v>1117</v>
      </c>
      <c r="E353" s="20"/>
      <c r="F353" s="6">
        <f>'Пр.3 Рд,пр, ЦС,ВР 20'!F397</f>
        <v>0</v>
      </c>
      <c r="G353" s="6">
        <f t="shared" si="23"/>
        <v>0</v>
      </c>
    </row>
    <row r="354" spans="1:7" ht="47.25" hidden="1" x14ac:dyDescent="0.25">
      <c r="A354" s="25" t="s">
        <v>882</v>
      </c>
      <c r="B354" s="20" t="s">
        <v>249</v>
      </c>
      <c r="C354" s="20" t="s">
        <v>228</v>
      </c>
      <c r="D354" s="20" t="s">
        <v>1117</v>
      </c>
      <c r="E354" s="20" t="s">
        <v>881</v>
      </c>
      <c r="F354" s="6">
        <f>'Пр.3 Рд,пр, ЦС,ВР 20'!F398</f>
        <v>0</v>
      </c>
      <c r="G354" s="6">
        <f t="shared" si="23"/>
        <v>0</v>
      </c>
    </row>
    <row r="355" spans="1:7" ht="78.75" hidden="1" x14ac:dyDescent="0.25">
      <c r="A355" s="25" t="s">
        <v>1222</v>
      </c>
      <c r="B355" s="20" t="s">
        <v>249</v>
      </c>
      <c r="C355" s="20" t="s">
        <v>228</v>
      </c>
      <c r="D355" s="20" t="s">
        <v>1117</v>
      </c>
      <c r="E355" s="20" t="s">
        <v>1244</v>
      </c>
      <c r="F355" s="6">
        <f>'Пр.3 Рд,пр, ЦС,ВР 20'!F399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1117</v>
      </c>
      <c r="E356" s="20" t="s">
        <v>160</v>
      </c>
      <c r="F356" s="6">
        <f>'Пр.3 Рд,пр, ЦС,ВР 20'!F400</f>
        <v>0</v>
      </c>
      <c r="G356" s="6">
        <f t="shared" si="23"/>
        <v>0</v>
      </c>
    </row>
    <row r="357" spans="1:7" ht="15.75" hidden="1" x14ac:dyDescent="0.25">
      <c r="A357" s="25" t="s">
        <v>725</v>
      </c>
      <c r="B357" s="20" t="s">
        <v>249</v>
      </c>
      <c r="C357" s="20" t="s">
        <v>228</v>
      </c>
      <c r="D357" s="20" t="s">
        <v>1117</v>
      </c>
      <c r="E357" s="20" t="s">
        <v>153</v>
      </c>
      <c r="F357" s="6">
        <f>'Пр.3 Рд,пр, ЦС,ВР 20'!F401</f>
        <v>0</v>
      </c>
      <c r="G357" s="6">
        <f t="shared" si="23"/>
        <v>0</v>
      </c>
    </row>
    <row r="358" spans="1:7" ht="47.25" hidden="1" x14ac:dyDescent="0.25">
      <c r="A358" s="25" t="s">
        <v>1245</v>
      </c>
      <c r="B358" s="20" t="s">
        <v>249</v>
      </c>
      <c r="C358" s="20" t="s">
        <v>228</v>
      </c>
      <c r="D358" s="20" t="s">
        <v>1246</v>
      </c>
      <c r="E358" s="20"/>
      <c r="F358" s="6">
        <f>'Пр.3 Рд,пр, ЦС,ВР 20'!F402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1246</v>
      </c>
      <c r="E359" s="20" t="s">
        <v>147</v>
      </c>
      <c r="F359" s="6">
        <f>'Пр.3 Рд,пр, ЦС,ВР 20'!F403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1246</v>
      </c>
      <c r="E360" s="20" t="s">
        <v>149</v>
      </c>
      <c r="F360" s="6">
        <f>'Пр.3 Рд,пр, ЦС,ВР 20'!F404</f>
        <v>0</v>
      </c>
      <c r="G360" s="6">
        <f t="shared" si="23"/>
        <v>0</v>
      </c>
    </row>
    <row r="361" spans="1:7" ht="78.75" x14ac:dyDescent="0.25">
      <c r="A361" s="23" t="s">
        <v>1348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1097</v>
      </c>
      <c r="B362" s="24" t="s">
        <v>249</v>
      </c>
      <c r="C362" s="24" t="s">
        <v>228</v>
      </c>
      <c r="D362" s="24" t="s">
        <v>1099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1098</v>
      </c>
      <c r="B363" s="40" t="s">
        <v>249</v>
      </c>
      <c r="C363" s="40" t="s">
        <v>228</v>
      </c>
      <c r="D363" s="20" t="s">
        <v>1100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1100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1100</v>
      </c>
      <c r="E365" s="40" t="s">
        <v>149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1101</v>
      </c>
      <c r="B366" s="7" t="s">
        <v>249</v>
      </c>
      <c r="C366" s="7" t="s">
        <v>228</v>
      </c>
      <c r="D366" s="24" t="s">
        <v>1102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1105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1105</v>
      </c>
      <c r="E368" s="40" t="s">
        <v>147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1105</v>
      </c>
      <c r="E369" s="40" t="s">
        <v>149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1103</v>
      </c>
      <c r="B370" s="7" t="s">
        <v>249</v>
      </c>
      <c r="C370" s="7" t="s">
        <v>228</v>
      </c>
      <c r="D370" s="24" t="s">
        <v>1104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1106</v>
      </c>
      <c r="E371" s="40"/>
      <c r="F371" s="6">
        <f>'Пр.3 Рд,пр, ЦС,ВР 20'!F415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1106</v>
      </c>
      <c r="E372" s="40" t="s">
        <v>147</v>
      </c>
      <c r="F372" s="6">
        <f>'Пр.3 Рд,пр, ЦС,ВР 20'!F416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1106</v>
      </c>
      <c r="E373" s="40" t="s">
        <v>149</v>
      </c>
      <c r="F373" s="6">
        <f>'Пр.3 Рд,пр, ЦС,ВР 20'!F417</f>
        <v>0</v>
      </c>
      <c r="G373" s="6">
        <f t="shared" si="23"/>
        <v>0</v>
      </c>
    </row>
    <row r="374" spans="1:7" ht="31.5" hidden="1" x14ac:dyDescent="0.25">
      <c r="A374" s="58" t="s">
        <v>1107</v>
      </c>
      <c r="B374" s="7" t="s">
        <v>249</v>
      </c>
      <c r="C374" s="7" t="s">
        <v>228</v>
      </c>
      <c r="D374" s="24" t="s">
        <v>1108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1109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1109</v>
      </c>
      <c r="E376" s="40" t="s">
        <v>147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1109</v>
      </c>
      <c r="E377" s="40" t="s">
        <v>149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1170</v>
      </c>
      <c r="B378" s="7" t="s">
        <v>249</v>
      </c>
      <c r="C378" s="7" t="s">
        <v>228</v>
      </c>
      <c r="D378" s="24" t="s">
        <v>1171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1174</v>
      </c>
      <c r="E379" s="40"/>
      <c r="F379" s="6">
        <f>'Пр.3 Рд,пр, ЦС,ВР 20'!F423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1174</v>
      </c>
      <c r="E380" s="40" t="s">
        <v>147</v>
      </c>
      <c r="F380" s="6">
        <f>'Пр.3 Рд,пр, ЦС,ВР 20'!F424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1174</v>
      </c>
      <c r="E381" s="40" t="s">
        <v>149</v>
      </c>
      <c r="F381" s="6">
        <f>'Пр.3 Рд,пр, ЦС,ВР 20'!F425</f>
        <v>0</v>
      </c>
      <c r="G381" s="6">
        <f t="shared" si="23"/>
        <v>0</v>
      </c>
    </row>
    <row r="382" spans="1:7" ht="47.25" hidden="1" x14ac:dyDescent="0.25">
      <c r="A382" s="225" t="s">
        <v>1172</v>
      </c>
      <c r="B382" s="7" t="s">
        <v>249</v>
      </c>
      <c r="C382" s="7" t="s">
        <v>228</v>
      </c>
      <c r="D382" s="24" t="s">
        <v>1173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1175</v>
      </c>
      <c r="E383" s="40"/>
      <c r="F383" s="6">
        <f>'Пр.3 Рд,пр, ЦС,ВР 20'!F427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1175</v>
      </c>
      <c r="E384" s="40" t="s">
        <v>147</v>
      </c>
      <c r="F384" s="6">
        <f>'Пр.3 Рд,пр, ЦС,ВР 20'!F428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1175</v>
      </c>
      <c r="E385" s="40" t="s">
        <v>149</v>
      </c>
      <c r="F385" s="6">
        <f>'Пр.3 Рд,пр, ЦС,ВР 20'!F429</f>
        <v>0</v>
      </c>
      <c r="G385" s="6">
        <f t="shared" si="23"/>
        <v>0</v>
      </c>
    </row>
    <row r="386" spans="1:7" ht="31.5" hidden="1" x14ac:dyDescent="0.25">
      <c r="A386" s="225" t="s">
        <v>1111</v>
      </c>
      <c r="B386" s="7" t="s">
        <v>249</v>
      </c>
      <c r="C386" s="7" t="s">
        <v>228</v>
      </c>
      <c r="D386" s="24" t="s">
        <v>1112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1110</v>
      </c>
      <c r="E387" s="40"/>
      <c r="F387" s="6">
        <f>'Пр.3 Рд,пр, ЦС,ВР 20'!F431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1110</v>
      </c>
      <c r="E388" s="40" t="s">
        <v>147</v>
      </c>
      <c r="F388" s="6">
        <f>'Пр.3 Рд,пр, ЦС,ВР 20'!F432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1110</v>
      </c>
      <c r="E389" s="40" t="s">
        <v>149</v>
      </c>
      <c r="F389" s="6">
        <f>'Пр.3 Рд,пр, ЦС,ВР 20'!F433</f>
        <v>0</v>
      </c>
      <c r="G389" s="6">
        <f t="shared" si="23"/>
        <v>0</v>
      </c>
    </row>
    <row r="390" spans="1:7" s="210" customFormat="1" ht="47.25" x14ac:dyDescent="0.25">
      <c r="A390" s="23" t="s">
        <v>1355</v>
      </c>
      <c r="B390" s="7" t="s">
        <v>249</v>
      </c>
      <c r="C390" s="7" t="s">
        <v>228</v>
      </c>
      <c r="D390" s="24" t="s">
        <v>1354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10" customFormat="1" ht="31.5" x14ac:dyDescent="0.25">
      <c r="A391" s="23" t="s">
        <v>1356</v>
      </c>
      <c r="B391" s="7" t="s">
        <v>249</v>
      </c>
      <c r="C391" s="7" t="s">
        <v>228</v>
      </c>
      <c r="D391" s="24" t="s">
        <v>1357</v>
      </c>
      <c r="E391" s="7"/>
      <c r="F391" s="4">
        <f t="shared" si="27"/>
        <v>235</v>
      </c>
      <c r="G391" s="4">
        <f t="shared" si="27"/>
        <v>204</v>
      </c>
    </row>
    <row r="392" spans="1:7" s="210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1358</v>
      </c>
      <c r="E392" s="40"/>
      <c r="F392" s="6">
        <f t="shared" si="27"/>
        <v>235</v>
      </c>
      <c r="G392" s="6">
        <f t="shared" si="27"/>
        <v>204</v>
      </c>
    </row>
    <row r="393" spans="1:7" s="210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1358</v>
      </c>
      <c r="E393" s="40" t="s">
        <v>147</v>
      </c>
      <c r="F393" s="6">
        <f t="shared" si="27"/>
        <v>235</v>
      </c>
      <c r="G393" s="6">
        <f t="shared" si="27"/>
        <v>204</v>
      </c>
    </row>
    <row r="394" spans="1:7" s="210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1358</v>
      </c>
      <c r="E394" s="40" t="s">
        <v>149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26443.5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910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914</v>
      </c>
      <c r="B397" s="24" t="s">
        <v>249</v>
      </c>
      <c r="C397" s="24" t="s">
        <v>230</v>
      </c>
      <c r="D397" s="24" t="s">
        <v>909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1259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1259</v>
      </c>
      <c r="E399" s="20" t="s">
        <v>147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1259</v>
      </c>
      <c r="E400" s="20" t="s">
        <v>149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1428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1120</v>
      </c>
      <c r="B403" s="24" t="s">
        <v>249</v>
      </c>
      <c r="C403" s="24" t="s">
        <v>230</v>
      </c>
      <c r="D403" s="24" t="s">
        <v>1118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1119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1119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1119</v>
      </c>
      <c r="E406" s="20" t="s">
        <v>149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1121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1121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1121</v>
      </c>
      <c r="E409" s="20" t="s">
        <v>149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1121</v>
      </c>
      <c r="E410" s="20" t="s">
        <v>160</v>
      </c>
      <c r="F410" s="6">
        <f>'Пр.3 Рд,пр, ЦС,ВР 20'!F456</f>
        <v>0</v>
      </c>
      <c r="G410" s="6">
        <f>'Пр.3 Рд,пр, ЦС,ВР 20'!G456</f>
        <v>0</v>
      </c>
    </row>
    <row r="411" spans="1:7" ht="47.25" hidden="1" x14ac:dyDescent="0.25">
      <c r="A411" s="25" t="s">
        <v>880</v>
      </c>
      <c r="B411" s="20" t="s">
        <v>249</v>
      </c>
      <c r="C411" s="20" t="s">
        <v>230</v>
      </c>
      <c r="D411" s="20" t="s">
        <v>1121</v>
      </c>
      <c r="E411" s="20" t="s">
        <v>162</v>
      </c>
      <c r="F411" s="6">
        <f>'Пр.3 Рд,пр, ЦС,ВР 20'!F457</f>
        <v>0</v>
      </c>
      <c r="G411" s="6">
        <f>'Пр.3 Рд,пр, ЦС,ВР 20'!G457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1121</v>
      </c>
      <c r="E412" s="20" t="s">
        <v>153</v>
      </c>
      <c r="F412" s="6">
        <f>'Пр.3 Рд,пр, ЦС,ВР 20'!F458</f>
        <v>0</v>
      </c>
      <c r="G412" s="6">
        <f>'Пр.3 Рд,пр, ЦС,ВР 20'!G458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1122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1122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1122</v>
      </c>
      <c r="E415" s="20" t="s">
        <v>149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1443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1138</v>
      </c>
      <c r="B417" s="24" t="s">
        <v>249</v>
      </c>
      <c r="C417" s="24" t="s">
        <v>230</v>
      </c>
      <c r="D417" s="24" t="s">
        <v>1123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1125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1125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1125</v>
      </c>
      <c r="E420" s="20" t="s">
        <v>149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1126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1126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1126</v>
      </c>
      <c r="E423" s="20" t="s">
        <v>149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1126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1126</v>
      </c>
      <c r="E425" s="20" t="s">
        <v>153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1127</v>
      </c>
      <c r="E426" s="20"/>
      <c r="F426" s="6">
        <f>'Пр.3 Рд,пр, ЦС,ВР 20'!F475</f>
        <v>0</v>
      </c>
      <c r="G426" s="6">
        <f t="shared" ref="G426:G464" si="30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1127</v>
      </c>
      <c r="E427" s="20" t="s">
        <v>147</v>
      </c>
      <c r="F427" s="6">
        <f>'Пр.3 Рд,пр, ЦС,ВР 20'!F476</f>
        <v>0</v>
      </c>
      <c r="G427" s="6">
        <f t="shared" si="30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1127</v>
      </c>
      <c r="E428" s="20" t="s">
        <v>149</v>
      </c>
      <c r="F428" s="6">
        <f>'Пр.3 Рд,пр, ЦС,ВР 20'!F477</f>
        <v>0</v>
      </c>
      <c r="G428" s="6">
        <f t="shared" si="30"/>
        <v>0</v>
      </c>
    </row>
    <row r="429" spans="1:7" s="210" customFormat="1" ht="31.5" x14ac:dyDescent="0.25">
      <c r="A429" s="237" t="s">
        <v>1284</v>
      </c>
      <c r="B429" s="20" t="s">
        <v>249</v>
      </c>
      <c r="C429" s="20" t="s">
        <v>230</v>
      </c>
      <c r="D429" s="20" t="s">
        <v>1285</v>
      </c>
      <c r="E429" s="20"/>
      <c r="F429" s="26">
        <f>F430</f>
        <v>11</v>
      </c>
      <c r="G429" s="26">
        <f>G430</f>
        <v>11</v>
      </c>
    </row>
    <row r="430" spans="1:7" s="210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1285</v>
      </c>
      <c r="E430" s="20" t="s">
        <v>147</v>
      </c>
      <c r="F430" s="26">
        <f>F431</f>
        <v>11</v>
      </c>
      <c r="G430" s="26">
        <f>G431</f>
        <v>11</v>
      </c>
    </row>
    <row r="431" spans="1:7" s="210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1285</v>
      </c>
      <c r="E431" s="20" t="s">
        <v>149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948</v>
      </c>
      <c r="B432" s="7" t="s">
        <v>249</v>
      </c>
      <c r="C432" s="7" t="s">
        <v>230</v>
      </c>
      <c r="D432" s="24" t="s">
        <v>1128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705</v>
      </c>
      <c r="B433" s="20" t="s">
        <v>249</v>
      </c>
      <c r="C433" s="20" t="s">
        <v>230</v>
      </c>
      <c r="D433" s="20" t="s">
        <v>1129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1129</v>
      </c>
      <c r="E434" s="20" t="s">
        <v>147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1129</v>
      </c>
      <c r="E435" s="20" t="s">
        <v>149</v>
      </c>
      <c r="F435" s="6">
        <f>'Пр.3 Рд,пр, ЦС,ВР 20'!F481</f>
        <v>0</v>
      </c>
      <c r="G435" s="6">
        <f t="shared" si="30"/>
        <v>0</v>
      </c>
    </row>
    <row r="436" spans="1:7" ht="78.75" x14ac:dyDescent="0.25">
      <c r="A436" s="25" t="s">
        <v>1247</v>
      </c>
      <c r="B436" s="20" t="s">
        <v>249</v>
      </c>
      <c r="C436" s="20" t="s">
        <v>230</v>
      </c>
      <c r="D436" s="20" t="s">
        <v>1248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1248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1248</v>
      </c>
      <c r="E438" s="20" t="s">
        <v>149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820</v>
      </c>
      <c r="B439" s="24" t="s">
        <v>249</v>
      </c>
      <c r="C439" s="24" t="s">
        <v>230</v>
      </c>
      <c r="D439" s="24" t="s">
        <v>732</v>
      </c>
      <c r="E439" s="24"/>
      <c r="F439" s="4">
        <f t="shared" ref="F439:G439" si="31">F441</f>
        <v>22809</v>
      </c>
      <c r="G439" s="4">
        <f t="shared" si="31"/>
        <v>500</v>
      </c>
    </row>
    <row r="440" spans="1:7" ht="31.5" x14ac:dyDescent="0.25">
      <c r="A440" s="23" t="s">
        <v>1243</v>
      </c>
      <c r="B440" s="24" t="s">
        <v>249</v>
      </c>
      <c r="C440" s="24" t="s">
        <v>230</v>
      </c>
      <c r="D440" s="24" t="s">
        <v>879</v>
      </c>
      <c r="E440" s="20"/>
      <c r="F440" s="4">
        <f t="shared" ref="F440:G442" si="32">F441</f>
        <v>22809</v>
      </c>
      <c r="G440" s="4">
        <f t="shared" si="32"/>
        <v>500</v>
      </c>
    </row>
    <row r="441" spans="1:7" ht="31.5" x14ac:dyDescent="0.25">
      <c r="A441" s="262" t="s">
        <v>731</v>
      </c>
      <c r="B441" s="20" t="s">
        <v>249</v>
      </c>
      <c r="C441" s="20" t="s">
        <v>230</v>
      </c>
      <c r="D441" s="20" t="s">
        <v>879</v>
      </c>
      <c r="E441" s="20"/>
      <c r="F441" s="6">
        <f t="shared" si="32"/>
        <v>22809</v>
      </c>
      <c r="G441" s="6">
        <f t="shared" si="32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879</v>
      </c>
      <c r="E442" s="20" t="s">
        <v>147</v>
      </c>
      <c r="F442" s="6">
        <f t="shared" si="32"/>
        <v>22809</v>
      </c>
      <c r="G442" s="6">
        <f t="shared" si="32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879</v>
      </c>
      <c r="E443" s="20" t="s">
        <v>149</v>
      </c>
      <c r="F443" s="6">
        <f>'пр.5.1.ведом.21-22'!G1018</f>
        <v>22809</v>
      </c>
      <c r="G443" s="6">
        <f>'пр.5.1.ведом.21-22'!H1018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988</v>
      </c>
      <c r="B445" s="24" t="s">
        <v>249</v>
      </c>
      <c r="C445" s="24" t="s">
        <v>249</v>
      </c>
      <c r="D445" s="24" t="s">
        <v>902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989</v>
      </c>
      <c r="B446" s="24" t="s">
        <v>249</v>
      </c>
      <c r="C446" s="24" t="s">
        <v>249</v>
      </c>
      <c r="D446" s="24" t="s">
        <v>903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965</v>
      </c>
      <c r="B447" s="20" t="s">
        <v>249</v>
      </c>
      <c r="C447" s="20" t="s">
        <v>249</v>
      </c>
      <c r="D447" s="20" t="s">
        <v>904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904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904</v>
      </c>
      <c r="E449" s="20" t="s">
        <v>145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904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904</v>
      </c>
      <c r="E451" s="20" t="s">
        <v>149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904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904</v>
      </c>
      <c r="E453" s="20" t="s">
        <v>153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883</v>
      </c>
      <c r="B454" s="20" t="s">
        <v>249</v>
      </c>
      <c r="C454" s="20" t="s">
        <v>249</v>
      </c>
      <c r="D454" s="20" t="s">
        <v>906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906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906</v>
      </c>
      <c r="E456" s="20" t="s">
        <v>145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910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914</v>
      </c>
      <c r="B458" s="24" t="s">
        <v>249</v>
      </c>
      <c r="C458" s="24" t="s">
        <v>249</v>
      </c>
      <c r="D458" s="24" t="s">
        <v>909</v>
      </c>
      <c r="E458" s="24"/>
      <c r="F458" s="295">
        <f>F459+F462</f>
        <v>982</v>
      </c>
      <c r="G458" s="295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1130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1130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1130</v>
      </c>
      <c r="E461" s="20" t="s">
        <v>175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866</v>
      </c>
      <c r="B462" s="20" t="s">
        <v>249</v>
      </c>
      <c r="C462" s="20" t="s">
        <v>249</v>
      </c>
      <c r="D462" s="20" t="s">
        <v>1249</v>
      </c>
      <c r="E462" s="20"/>
      <c r="F462" s="6">
        <f>'Пр.3 Рд,пр, ЦС,ВР 20'!F513</f>
        <v>0</v>
      </c>
      <c r="G462" s="6">
        <f t="shared" si="30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1249</v>
      </c>
      <c r="E463" s="20" t="s">
        <v>160</v>
      </c>
      <c r="F463" s="6">
        <f>'Пр.3 Рд,пр, ЦС,ВР 20'!F514</f>
        <v>0</v>
      </c>
      <c r="G463" s="6">
        <f t="shared" si="30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1249</v>
      </c>
      <c r="E464" s="20" t="s">
        <v>175</v>
      </c>
      <c r="F464" s="6">
        <f>'Пр.3 Рд,пр, ЦС,ВР 20'!F515</f>
        <v>0</v>
      </c>
      <c r="G464" s="6">
        <f t="shared" si="30"/>
        <v>0</v>
      </c>
    </row>
    <row r="465" spans="1:11" ht="47.25" x14ac:dyDescent="0.25">
      <c r="A465" s="23" t="s">
        <v>1000</v>
      </c>
      <c r="B465" s="24" t="s">
        <v>249</v>
      </c>
      <c r="C465" s="24" t="s">
        <v>249</v>
      </c>
      <c r="D465" s="24" t="s">
        <v>985</v>
      </c>
      <c r="E465" s="24"/>
      <c r="F465" s="295">
        <f>F466+F471</f>
        <v>9779</v>
      </c>
      <c r="G465" s="295">
        <f>G466+G471</f>
        <v>9779</v>
      </c>
    </row>
    <row r="466" spans="1:11" ht="31.5" x14ac:dyDescent="0.25">
      <c r="A466" s="25" t="s">
        <v>972</v>
      </c>
      <c r="B466" s="20" t="s">
        <v>249</v>
      </c>
      <c r="C466" s="20" t="s">
        <v>249</v>
      </c>
      <c r="D466" s="20" t="s">
        <v>986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986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986</v>
      </c>
      <c r="E468" s="20" t="s">
        <v>224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986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986</v>
      </c>
      <c r="E470" s="20" t="s">
        <v>149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883</v>
      </c>
      <c r="B471" s="20" t="s">
        <v>249</v>
      </c>
      <c r="C471" s="20" t="s">
        <v>249</v>
      </c>
      <c r="D471" s="20" t="s">
        <v>987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987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987</v>
      </c>
      <c r="E473" s="20" t="s">
        <v>145</v>
      </c>
      <c r="F473" s="6">
        <f>'пр.5.1.ведом.21-22'!G1048</f>
        <v>420</v>
      </c>
      <c r="G473" s="6">
        <f>'пр.5.1.ведом.21-22'!H1048</f>
        <v>420</v>
      </c>
    </row>
    <row r="474" spans="1:11" s="210" customFormat="1" ht="78.75" hidden="1" x14ac:dyDescent="0.25">
      <c r="A474" s="34" t="s">
        <v>803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10" customFormat="1" ht="63" hidden="1" x14ac:dyDescent="0.25">
      <c r="A475" s="34" t="s">
        <v>1160</v>
      </c>
      <c r="B475" s="24" t="s">
        <v>249</v>
      </c>
      <c r="C475" s="24" t="s">
        <v>249</v>
      </c>
      <c r="D475" s="24" t="s">
        <v>1023</v>
      </c>
      <c r="E475" s="24"/>
      <c r="F475" s="21">
        <f t="shared" si="33"/>
        <v>0</v>
      </c>
      <c r="G475" s="21">
        <f t="shared" si="33"/>
        <v>0</v>
      </c>
    </row>
    <row r="476" spans="1:11" s="210" customFormat="1" ht="63" hidden="1" x14ac:dyDescent="0.25">
      <c r="A476" s="31" t="s">
        <v>1271</v>
      </c>
      <c r="B476" s="20" t="s">
        <v>249</v>
      </c>
      <c r="C476" s="20" t="s">
        <v>249</v>
      </c>
      <c r="D476" s="20" t="s">
        <v>1190</v>
      </c>
      <c r="E476" s="20"/>
      <c r="F476" s="26">
        <f t="shared" si="33"/>
        <v>0</v>
      </c>
      <c r="G476" s="26">
        <f t="shared" si="33"/>
        <v>0</v>
      </c>
    </row>
    <row r="477" spans="1:11" s="210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1190</v>
      </c>
      <c r="E477" s="20" t="s">
        <v>147</v>
      </c>
      <c r="F477" s="26">
        <f t="shared" si="33"/>
        <v>0</v>
      </c>
      <c r="G477" s="26">
        <f t="shared" si="33"/>
        <v>0</v>
      </c>
    </row>
    <row r="478" spans="1:11" s="210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1190</v>
      </c>
      <c r="E478" s="20" t="s">
        <v>149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F480+F551+F738+F635+F709</f>
        <v>381259.7</v>
      </c>
      <c r="G479" s="4">
        <f>G480+G551+G738+G635+G709</f>
        <v>382622.51399999997</v>
      </c>
      <c r="H479" s="231">
        <v>378154.5</v>
      </c>
      <c r="I479" s="231">
        <v>378163</v>
      </c>
      <c r="J479" s="231">
        <f>H479-F479</f>
        <v>-3105.2000000000116</v>
      </c>
      <c r="K479" s="231">
        <f>I479-G479</f>
        <v>-4459.5139999999665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F481+F541+F546</f>
        <v>109329.5</v>
      </c>
      <c r="G480" s="4">
        <f>G481+G541+G546</f>
        <v>109329.5</v>
      </c>
    </row>
    <row r="481" spans="1:11" ht="47.25" x14ac:dyDescent="0.25">
      <c r="A481" s="23" t="s">
        <v>1422</v>
      </c>
      <c r="B481" s="24" t="s">
        <v>279</v>
      </c>
      <c r="C481" s="24" t="s">
        <v>133</v>
      </c>
      <c r="D481" s="24" t="s">
        <v>421</v>
      </c>
      <c r="E481" s="24"/>
      <c r="F481" s="4">
        <f>F482+F506</f>
        <v>108865.2</v>
      </c>
      <c r="G481" s="4">
        <f>G482+G506</f>
        <v>108865.2</v>
      </c>
    </row>
    <row r="482" spans="1:11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1026</v>
      </c>
      <c r="B483" s="24" t="s">
        <v>279</v>
      </c>
      <c r="C483" s="24" t="s">
        <v>133</v>
      </c>
      <c r="D483" s="24" t="s">
        <v>1004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1061</v>
      </c>
      <c r="B484" s="20" t="s">
        <v>279</v>
      </c>
      <c r="C484" s="20" t="s">
        <v>133</v>
      </c>
      <c r="D484" s="20" t="s">
        <v>1060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287</v>
      </c>
      <c r="B485" s="20" t="s">
        <v>279</v>
      </c>
      <c r="C485" s="20" t="s">
        <v>133</v>
      </c>
      <c r="D485" s="20" t="s">
        <v>1060</v>
      </c>
      <c r="E485" s="20" t="s">
        <v>288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289</v>
      </c>
      <c r="B486" s="20" t="s">
        <v>279</v>
      </c>
      <c r="C486" s="20" t="s">
        <v>133</v>
      </c>
      <c r="D486" s="20" t="s">
        <v>1060</v>
      </c>
      <c r="E486" s="20" t="s">
        <v>290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1236</v>
      </c>
      <c r="B487" s="20" t="s">
        <v>279</v>
      </c>
      <c r="C487" s="20" t="s">
        <v>133</v>
      </c>
      <c r="D487" s="20" t="s">
        <v>1062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287</v>
      </c>
      <c r="B488" s="20" t="s">
        <v>279</v>
      </c>
      <c r="C488" s="20" t="s">
        <v>133</v>
      </c>
      <c r="D488" s="20" t="s">
        <v>1062</v>
      </c>
      <c r="E488" s="20" t="s">
        <v>288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289</v>
      </c>
      <c r="B489" s="20" t="s">
        <v>279</v>
      </c>
      <c r="C489" s="20" t="s">
        <v>133</v>
      </c>
      <c r="D489" s="20" t="s">
        <v>1062</v>
      </c>
      <c r="E489" s="20" t="s">
        <v>290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969</v>
      </c>
      <c r="B490" s="24" t="s">
        <v>279</v>
      </c>
      <c r="C490" s="24" t="s">
        <v>133</v>
      </c>
      <c r="D490" s="24" t="s">
        <v>1019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09" customFormat="1" ht="110.25" customHeight="1" x14ac:dyDescent="0.25">
      <c r="A491" s="31" t="s">
        <v>308</v>
      </c>
      <c r="B491" s="316" t="s">
        <v>279</v>
      </c>
      <c r="C491" s="316" t="s">
        <v>133</v>
      </c>
      <c r="D491" s="316" t="s">
        <v>1507</v>
      </c>
      <c r="E491" s="316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09" customFormat="1" ht="50.25" customHeight="1" x14ac:dyDescent="0.25">
      <c r="A492" s="320" t="s">
        <v>287</v>
      </c>
      <c r="B492" s="316" t="s">
        <v>279</v>
      </c>
      <c r="C492" s="316" t="s">
        <v>133</v>
      </c>
      <c r="D492" s="316" t="s">
        <v>1507</v>
      </c>
      <c r="E492" s="316" t="s">
        <v>143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09" customFormat="1" ht="22.7" customHeight="1" x14ac:dyDescent="0.25">
      <c r="A493" s="320" t="s">
        <v>289</v>
      </c>
      <c r="B493" s="316" t="s">
        <v>279</v>
      </c>
      <c r="C493" s="316" t="s">
        <v>133</v>
      </c>
      <c r="D493" s="316" t="s">
        <v>1507</v>
      </c>
      <c r="E493" s="316" t="s">
        <v>224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304</v>
      </c>
      <c r="B494" s="20" t="s">
        <v>279</v>
      </c>
      <c r="C494" s="20" t="s">
        <v>133</v>
      </c>
      <c r="D494" s="20" t="s">
        <v>1018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287</v>
      </c>
      <c r="B495" s="20" t="s">
        <v>279</v>
      </c>
      <c r="C495" s="20" t="s">
        <v>133</v>
      </c>
      <c r="D495" s="20" t="s">
        <v>1018</v>
      </c>
      <c r="E495" s="20" t="s">
        <v>288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289</v>
      </c>
      <c r="B496" s="20" t="s">
        <v>279</v>
      </c>
      <c r="C496" s="20" t="s">
        <v>133</v>
      </c>
      <c r="D496" s="20" t="s">
        <v>1018</v>
      </c>
      <c r="E496" s="20" t="s">
        <v>290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306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1448</v>
      </c>
      <c r="B500" s="20" t="s">
        <v>279</v>
      </c>
      <c r="C500" s="20" t="s">
        <v>133</v>
      </c>
      <c r="D500" s="20" t="s">
        <v>1020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1020</v>
      </c>
      <c r="E501" s="20" t="s">
        <v>288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1020</v>
      </c>
      <c r="E502" s="20" t="s">
        <v>290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308</v>
      </c>
      <c r="B503" s="20" t="s">
        <v>279</v>
      </c>
      <c r="C503" s="20" t="s">
        <v>133</v>
      </c>
      <c r="D503" s="20" t="s">
        <v>1022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287</v>
      </c>
      <c r="B504" s="20" t="s">
        <v>279</v>
      </c>
      <c r="C504" s="20" t="s">
        <v>133</v>
      </c>
      <c r="D504" s="20" t="s">
        <v>1022</v>
      </c>
      <c r="E504" s="20" t="s">
        <v>288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289</v>
      </c>
      <c r="B505" s="20" t="s">
        <v>279</v>
      </c>
      <c r="C505" s="20" t="s">
        <v>133</v>
      </c>
      <c r="D505" s="20" t="s">
        <v>1022</v>
      </c>
      <c r="E505" s="20" t="s">
        <v>290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F507+F517+F527+F534</f>
        <v>10997.7</v>
      </c>
      <c r="G506" s="4">
        <f>G507+G517+G527+G534</f>
        <v>10997.7</v>
      </c>
    </row>
    <row r="507" spans="1:7" ht="31.5" x14ac:dyDescent="0.25">
      <c r="A507" s="23" t="s">
        <v>1005</v>
      </c>
      <c r="B507" s="24" t="s">
        <v>279</v>
      </c>
      <c r="C507" s="24" t="s">
        <v>133</v>
      </c>
      <c r="D507" s="24" t="s">
        <v>1006</v>
      </c>
      <c r="E507" s="24"/>
      <c r="F507" s="4">
        <f>F508+F511+F514</f>
        <v>4430</v>
      </c>
      <c r="G507" s="4">
        <f>G508+G511+G514</f>
        <v>4430</v>
      </c>
    </row>
    <row r="508" spans="1:7" ht="47.25" hidden="1" x14ac:dyDescent="0.25">
      <c r="A508" s="25" t="s">
        <v>293</v>
      </c>
      <c r="B508" s="20" t="s">
        <v>279</v>
      </c>
      <c r="C508" s="20" t="s">
        <v>133</v>
      </c>
      <c r="D508" s="20" t="s">
        <v>1007</v>
      </c>
      <c r="E508" s="20"/>
      <c r="F508" s="6">
        <f>F509</f>
        <v>0</v>
      </c>
      <c r="G508" s="6">
        <f t="shared" ref="G508:G545" si="35">F508</f>
        <v>0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1007</v>
      </c>
      <c r="E509" s="20" t="s">
        <v>288</v>
      </c>
      <c r="F509" s="6">
        <f>F510</f>
        <v>0</v>
      </c>
      <c r="G509" s="6">
        <f t="shared" si="35"/>
        <v>0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1007</v>
      </c>
      <c r="E510" s="20" t="s">
        <v>290</v>
      </c>
      <c r="F510" s="6"/>
      <c r="G510" s="6">
        <f t="shared" si="35"/>
        <v>0</v>
      </c>
    </row>
    <row r="511" spans="1:7" ht="31.5" hidden="1" x14ac:dyDescent="0.25">
      <c r="A511" s="25" t="s">
        <v>295</v>
      </c>
      <c r="B511" s="20" t="s">
        <v>279</v>
      </c>
      <c r="C511" s="20" t="s">
        <v>133</v>
      </c>
      <c r="D511" s="20" t="s">
        <v>1008</v>
      </c>
      <c r="E511" s="20"/>
      <c r="F511" s="6">
        <f>F512</f>
        <v>0</v>
      </c>
      <c r="G511" s="6">
        <f t="shared" si="35"/>
        <v>0</v>
      </c>
    </row>
    <row r="512" spans="1:7" ht="47.25" hidden="1" x14ac:dyDescent="0.25">
      <c r="A512" s="25" t="s">
        <v>287</v>
      </c>
      <c r="B512" s="20" t="s">
        <v>279</v>
      </c>
      <c r="C512" s="20" t="s">
        <v>133</v>
      </c>
      <c r="D512" s="20" t="s">
        <v>1008</v>
      </c>
      <c r="E512" s="20" t="s">
        <v>288</v>
      </c>
      <c r="F512" s="6">
        <f>F513</f>
        <v>0</v>
      </c>
      <c r="G512" s="6">
        <f t="shared" si="35"/>
        <v>0</v>
      </c>
    </row>
    <row r="513" spans="1:7" ht="15.75" hidden="1" x14ac:dyDescent="0.25">
      <c r="A513" s="25" t="s">
        <v>289</v>
      </c>
      <c r="B513" s="20" t="s">
        <v>279</v>
      </c>
      <c r="C513" s="20" t="s">
        <v>133</v>
      </c>
      <c r="D513" s="20" t="s">
        <v>1008</v>
      </c>
      <c r="E513" s="20" t="s">
        <v>290</v>
      </c>
      <c r="F513" s="6">
        <v>0</v>
      </c>
      <c r="G513" s="6">
        <f t="shared" si="35"/>
        <v>0</v>
      </c>
    </row>
    <row r="514" spans="1:7" ht="47.25" x14ac:dyDescent="0.25">
      <c r="A514" s="29" t="s">
        <v>430</v>
      </c>
      <c r="B514" s="20" t="s">
        <v>279</v>
      </c>
      <c r="C514" s="20" t="s">
        <v>133</v>
      </c>
      <c r="D514" s="20" t="s">
        <v>1009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287</v>
      </c>
      <c r="B515" s="20" t="s">
        <v>279</v>
      </c>
      <c r="C515" s="20" t="s">
        <v>133</v>
      </c>
      <c r="D515" s="20" t="s">
        <v>1009</v>
      </c>
      <c r="E515" s="20" t="s">
        <v>288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289</v>
      </c>
      <c r="B516" s="20" t="s">
        <v>279</v>
      </c>
      <c r="C516" s="20" t="s">
        <v>133</v>
      </c>
      <c r="D516" s="20" t="s">
        <v>1009</v>
      </c>
      <c r="E516" s="20" t="s">
        <v>290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24" t="s">
        <v>1075</v>
      </c>
      <c r="B517" s="24" t="s">
        <v>279</v>
      </c>
      <c r="C517" s="24" t="s">
        <v>133</v>
      </c>
      <c r="D517" s="24" t="s">
        <v>1010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299</v>
      </c>
      <c r="B518" s="20" t="s">
        <v>279</v>
      </c>
      <c r="C518" s="20" t="s">
        <v>133</v>
      </c>
      <c r="D518" s="20" t="s">
        <v>1011</v>
      </c>
      <c r="E518" s="20"/>
      <c r="F518" s="6">
        <f>F519</f>
        <v>0</v>
      </c>
      <c r="G518" s="6">
        <f t="shared" si="35"/>
        <v>0</v>
      </c>
    </row>
    <row r="519" spans="1:7" ht="47.25" hidden="1" x14ac:dyDescent="0.25">
      <c r="A519" s="25" t="s">
        <v>287</v>
      </c>
      <c r="B519" s="20" t="s">
        <v>279</v>
      </c>
      <c r="C519" s="20" t="s">
        <v>133</v>
      </c>
      <c r="D519" s="20" t="s">
        <v>1011</v>
      </c>
      <c r="E519" s="20" t="s">
        <v>288</v>
      </c>
      <c r="F519" s="6">
        <f>F520</f>
        <v>0</v>
      </c>
      <c r="G519" s="6">
        <f t="shared" si="35"/>
        <v>0</v>
      </c>
    </row>
    <row r="520" spans="1:7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1011</v>
      </c>
      <c r="E520" s="20" t="s">
        <v>290</v>
      </c>
      <c r="F520" s="6">
        <v>0</v>
      </c>
      <c r="G520" s="6">
        <f t="shared" si="35"/>
        <v>0</v>
      </c>
    </row>
    <row r="521" spans="1:7" ht="47.25" x14ac:dyDescent="0.25">
      <c r="A521" s="60" t="s">
        <v>785</v>
      </c>
      <c r="B521" s="20" t="s">
        <v>279</v>
      </c>
      <c r="C521" s="20" t="s">
        <v>133</v>
      </c>
      <c r="D521" s="20" t="s">
        <v>1012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1012</v>
      </c>
      <c r="E522" s="20" t="s">
        <v>288</v>
      </c>
      <c r="F522" s="6">
        <f>F523</f>
        <v>2850</v>
      </c>
      <c r="G522" s="6">
        <f>G523</f>
        <v>2850</v>
      </c>
    </row>
    <row r="523" spans="1:7" ht="15.75" x14ac:dyDescent="0.25">
      <c r="A523" s="193" t="s">
        <v>289</v>
      </c>
      <c r="B523" s="20" t="s">
        <v>279</v>
      </c>
      <c r="C523" s="20" t="s">
        <v>133</v>
      </c>
      <c r="D523" s="20" t="s">
        <v>1012</v>
      </c>
      <c r="E523" s="20" t="s">
        <v>290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786</v>
      </c>
      <c r="B524" s="20" t="s">
        <v>279</v>
      </c>
      <c r="C524" s="20" t="s">
        <v>133</v>
      </c>
      <c r="D524" s="20" t="s">
        <v>1013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287</v>
      </c>
      <c r="B525" s="20" t="s">
        <v>279</v>
      </c>
      <c r="C525" s="20" t="s">
        <v>133</v>
      </c>
      <c r="D525" s="20" t="s">
        <v>1013</v>
      </c>
      <c r="E525" s="20" t="s">
        <v>288</v>
      </c>
      <c r="F525" s="6">
        <f>F526</f>
        <v>1760</v>
      </c>
      <c r="G525" s="6">
        <f>G526</f>
        <v>1760</v>
      </c>
    </row>
    <row r="526" spans="1:7" ht="15.75" x14ac:dyDescent="0.25">
      <c r="A526" s="193" t="s">
        <v>289</v>
      </c>
      <c r="B526" s="20" t="s">
        <v>279</v>
      </c>
      <c r="C526" s="20" t="s">
        <v>133</v>
      </c>
      <c r="D526" s="20" t="s">
        <v>1013</v>
      </c>
      <c r="E526" s="20" t="s">
        <v>290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1014</v>
      </c>
      <c r="B527" s="24" t="s">
        <v>279</v>
      </c>
      <c r="C527" s="24" t="s">
        <v>133</v>
      </c>
      <c r="D527" s="24" t="s">
        <v>1015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1456</v>
      </c>
      <c r="B528" s="20" t="s">
        <v>279</v>
      </c>
      <c r="C528" s="20" t="s">
        <v>133</v>
      </c>
      <c r="D528" s="20" t="s">
        <v>1016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287</v>
      </c>
      <c r="B529" s="20" t="s">
        <v>279</v>
      </c>
      <c r="C529" s="20" t="s">
        <v>133</v>
      </c>
      <c r="D529" s="20" t="s">
        <v>1016</v>
      </c>
      <c r="E529" s="20" t="s">
        <v>288</v>
      </c>
      <c r="F529" s="6">
        <f>F530</f>
        <v>124.4</v>
      </c>
      <c r="G529" s="6">
        <f>G530</f>
        <v>124.4</v>
      </c>
    </row>
    <row r="530" spans="1:7" ht="15.75" x14ac:dyDescent="0.25">
      <c r="A530" s="193" t="s">
        <v>289</v>
      </c>
      <c r="B530" s="20" t="s">
        <v>279</v>
      </c>
      <c r="C530" s="20" t="s">
        <v>133</v>
      </c>
      <c r="D530" s="20" t="s">
        <v>1016</v>
      </c>
      <c r="E530" s="20" t="s">
        <v>290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438</v>
      </c>
      <c r="B531" s="20" t="s">
        <v>279</v>
      </c>
      <c r="C531" s="20" t="s">
        <v>133</v>
      </c>
      <c r="D531" s="20" t="s">
        <v>1017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287</v>
      </c>
      <c r="B532" s="20" t="s">
        <v>279</v>
      </c>
      <c r="C532" s="20" t="s">
        <v>133</v>
      </c>
      <c r="D532" s="20" t="s">
        <v>1017</v>
      </c>
      <c r="E532" s="20" t="s">
        <v>288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289</v>
      </c>
      <c r="B533" s="20" t="s">
        <v>279</v>
      </c>
      <c r="C533" s="20" t="s">
        <v>133</v>
      </c>
      <c r="D533" s="20" t="s">
        <v>1017</v>
      </c>
      <c r="E533" s="20" t="s">
        <v>290</v>
      </c>
      <c r="F533" s="6">
        <f>'пр.5.1.ведом.21-22'!G600</f>
        <v>166.7</v>
      </c>
      <c r="G533" s="6">
        <f>'пр.5.1.ведом.21-22'!H600</f>
        <v>166.7</v>
      </c>
    </row>
    <row r="534" spans="1:7" s="210" customFormat="1" ht="126" x14ac:dyDescent="0.25">
      <c r="A534" s="23" t="s">
        <v>1393</v>
      </c>
      <c r="B534" s="24" t="s">
        <v>279</v>
      </c>
      <c r="C534" s="24" t="s">
        <v>133</v>
      </c>
      <c r="D534" s="24" t="s">
        <v>1391</v>
      </c>
      <c r="E534" s="24"/>
      <c r="F534" s="21">
        <f>F535+F538</f>
        <v>1666.6</v>
      </c>
      <c r="G534" s="21">
        <f>G535+G538</f>
        <v>1666.6</v>
      </c>
    </row>
    <row r="535" spans="1:7" s="210" customFormat="1" ht="110.25" x14ac:dyDescent="0.25">
      <c r="A535" s="151" t="s">
        <v>1457</v>
      </c>
      <c r="B535" s="20" t="s">
        <v>279</v>
      </c>
      <c r="C535" s="20" t="s">
        <v>133</v>
      </c>
      <c r="D535" s="20" t="s">
        <v>1395</v>
      </c>
      <c r="E535" s="20"/>
      <c r="F535" s="26">
        <f>F536</f>
        <v>0</v>
      </c>
      <c r="G535" s="26">
        <f>G536</f>
        <v>0</v>
      </c>
    </row>
    <row r="536" spans="1:7" s="210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1395</v>
      </c>
      <c r="E536" s="20" t="s">
        <v>288</v>
      </c>
      <c r="F536" s="26">
        <f>F537</f>
        <v>0</v>
      </c>
      <c r="G536" s="26">
        <f>G537</f>
        <v>0</v>
      </c>
    </row>
    <row r="537" spans="1:7" s="210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1395</v>
      </c>
      <c r="E537" s="20" t="s">
        <v>290</v>
      </c>
      <c r="F537" s="26">
        <f>'пр.5.1.ведом.21-22'!G609</f>
        <v>0</v>
      </c>
      <c r="G537" s="6">
        <f>'пр.5.1.ведом.21-22'!H609</f>
        <v>0</v>
      </c>
    </row>
    <row r="538" spans="1:7" s="210" customFormat="1" ht="116.45" customHeight="1" x14ac:dyDescent="0.25">
      <c r="A538" s="151" t="s">
        <v>1392</v>
      </c>
      <c r="B538" s="20" t="s">
        <v>279</v>
      </c>
      <c r="C538" s="20" t="s">
        <v>133</v>
      </c>
      <c r="D538" s="20" t="s">
        <v>1394</v>
      </c>
      <c r="E538" s="20"/>
      <c r="F538" s="26">
        <f>F539</f>
        <v>1666.6</v>
      </c>
      <c r="G538" s="26">
        <f>G539</f>
        <v>1666.6</v>
      </c>
    </row>
    <row r="539" spans="1:7" s="210" customFormat="1" ht="47.25" x14ac:dyDescent="0.25">
      <c r="A539" s="25" t="s">
        <v>287</v>
      </c>
      <c r="B539" s="20" t="s">
        <v>279</v>
      </c>
      <c r="C539" s="20" t="s">
        <v>133</v>
      </c>
      <c r="D539" s="20" t="s">
        <v>1394</v>
      </c>
      <c r="E539" s="20" t="s">
        <v>288</v>
      </c>
      <c r="F539" s="26">
        <f>F540</f>
        <v>1666.6</v>
      </c>
      <c r="G539" s="26">
        <f>G540</f>
        <v>1666.6</v>
      </c>
    </row>
    <row r="540" spans="1:7" s="210" customFormat="1" ht="15.75" x14ac:dyDescent="0.25">
      <c r="A540" s="25" t="s">
        <v>289</v>
      </c>
      <c r="B540" s="20" t="s">
        <v>279</v>
      </c>
      <c r="C540" s="20" t="s">
        <v>133</v>
      </c>
      <c r="D540" s="20" t="s">
        <v>1394</v>
      </c>
      <c r="E540" s="20" t="s">
        <v>290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803</v>
      </c>
      <c r="B541" s="24" t="s">
        <v>279</v>
      </c>
      <c r="C541" s="24" t="s">
        <v>133</v>
      </c>
      <c r="D541" s="24" t="s">
        <v>339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1160</v>
      </c>
      <c r="B542" s="24" t="s">
        <v>279</v>
      </c>
      <c r="C542" s="24" t="s">
        <v>133</v>
      </c>
      <c r="D542" s="24" t="s">
        <v>1023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1159</v>
      </c>
      <c r="B543" s="20" t="s">
        <v>279</v>
      </c>
      <c r="C543" s="20" t="s">
        <v>133</v>
      </c>
      <c r="D543" s="20" t="s">
        <v>1024</v>
      </c>
      <c r="E543" s="20"/>
      <c r="F543" s="6">
        <f>'Пр.3 Рд,пр, ЦС,ВР 20'!F587</f>
        <v>0</v>
      </c>
      <c r="G543" s="6">
        <f t="shared" si="35"/>
        <v>0</v>
      </c>
    </row>
    <row r="544" spans="1:7" ht="47.25" hidden="1" x14ac:dyDescent="0.25">
      <c r="A544" s="31" t="s">
        <v>287</v>
      </c>
      <c r="B544" s="20" t="s">
        <v>279</v>
      </c>
      <c r="C544" s="20" t="s">
        <v>133</v>
      </c>
      <c r="D544" s="20" t="s">
        <v>1024</v>
      </c>
      <c r="E544" s="20" t="s">
        <v>288</v>
      </c>
      <c r="F544" s="6">
        <f>'Пр.3 Рд,пр, ЦС,ВР 20'!F588</f>
        <v>0</v>
      </c>
      <c r="G544" s="6">
        <f t="shared" si="35"/>
        <v>0</v>
      </c>
    </row>
    <row r="545" spans="1:7" ht="15.75" hidden="1" x14ac:dyDescent="0.25">
      <c r="A545" s="31" t="s">
        <v>289</v>
      </c>
      <c r="B545" s="20" t="s">
        <v>279</v>
      </c>
      <c r="C545" s="20" t="s">
        <v>133</v>
      </c>
      <c r="D545" s="20" t="s">
        <v>1024</v>
      </c>
      <c r="E545" s="20" t="s">
        <v>290</v>
      </c>
      <c r="F545" s="6">
        <f>'Пр.3 Рд,пр, ЦС,ВР 20'!F589</f>
        <v>0</v>
      </c>
      <c r="G545" s="6">
        <f t="shared" si="35"/>
        <v>0</v>
      </c>
    </row>
    <row r="546" spans="1:7" ht="78.75" x14ac:dyDescent="0.25">
      <c r="A546" s="41" t="s">
        <v>1417</v>
      </c>
      <c r="B546" s="24" t="s">
        <v>279</v>
      </c>
      <c r="C546" s="24" t="s">
        <v>133</v>
      </c>
      <c r="D546" s="24" t="s">
        <v>726</v>
      </c>
      <c r="E546" s="228"/>
      <c r="F546" s="4">
        <f>F547</f>
        <v>464.3</v>
      </c>
      <c r="G546" s="4">
        <f>G547</f>
        <v>464.3</v>
      </c>
    </row>
    <row r="547" spans="1:7" ht="63" x14ac:dyDescent="0.25">
      <c r="A547" s="41" t="s">
        <v>947</v>
      </c>
      <c r="B547" s="24" t="s">
        <v>279</v>
      </c>
      <c r="C547" s="24" t="s">
        <v>133</v>
      </c>
      <c r="D547" s="24" t="s">
        <v>945</v>
      </c>
      <c r="E547" s="228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801</v>
      </c>
      <c r="B548" s="20" t="s">
        <v>279</v>
      </c>
      <c r="C548" s="20" t="s">
        <v>133</v>
      </c>
      <c r="D548" s="20" t="s">
        <v>1025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287</v>
      </c>
      <c r="B549" s="20" t="s">
        <v>279</v>
      </c>
      <c r="C549" s="20" t="s">
        <v>133</v>
      </c>
      <c r="D549" s="20" t="s">
        <v>1025</v>
      </c>
      <c r="E549" s="32" t="s">
        <v>288</v>
      </c>
      <c r="F549" s="6">
        <f>F550</f>
        <v>464.3</v>
      </c>
      <c r="G549" s="6">
        <f>G550</f>
        <v>464.3</v>
      </c>
    </row>
    <row r="550" spans="1:7" ht="15.75" x14ac:dyDescent="0.25">
      <c r="A550" s="193" t="s">
        <v>289</v>
      </c>
      <c r="B550" s="20" t="s">
        <v>279</v>
      </c>
      <c r="C550" s="20" t="s">
        <v>133</v>
      </c>
      <c r="D550" s="20" t="s">
        <v>1025</v>
      </c>
      <c r="E550" s="32" t="s">
        <v>290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F552+F625+F630</f>
        <v>193443.7</v>
      </c>
      <c r="G551" s="4">
        <f>G552+G625+G630</f>
        <v>194806.514</v>
      </c>
    </row>
    <row r="552" spans="1:7" ht="47.25" x14ac:dyDescent="0.25">
      <c r="A552" s="23" t="s">
        <v>1423</v>
      </c>
      <c r="B552" s="24" t="s">
        <v>279</v>
      </c>
      <c r="C552" s="24" t="s">
        <v>228</v>
      </c>
      <c r="D552" s="24" t="s">
        <v>421</v>
      </c>
      <c r="E552" s="24"/>
      <c r="F552" s="4">
        <f>F553+F586</f>
        <v>192720.40000000002</v>
      </c>
      <c r="G552" s="4">
        <f>G553+G586</f>
        <v>194083.21400000001</v>
      </c>
    </row>
    <row r="553" spans="1:7" ht="47.25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1026</v>
      </c>
      <c r="B554" s="24" t="s">
        <v>279</v>
      </c>
      <c r="C554" s="24" t="s">
        <v>228</v>
      </c>
      <c r="D554" s="24" t="s">
        <v>1004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1066</v>
      </c>
      <c r="B555" s="20" t="s">
        <v>279</v>
      </c>
      <c r="C555" s="20" t="s">
        <v>228</v>
      </c>
      <c r="D555" s="20" t="s">
        <v>1063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1063</v>
      </c>
      <c r="E556" s="20" t="s">
        <v>288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1063</v>
      </c>
      <c r="E557" s="20" t="s">
        <v>290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1067</v>
      </c>
      <c r="B558" s="20" t="s">
        <v>279</v>
      </c>
      <c r="C558" s="20" t="s">
        <v>228</v>
      </c>
      <c r="D558" s="20" t="s">
        <v>1064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1064</v>
      </c>
      <c r="E559" s="20" t="s">
        <v>288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1064</v>
      </c>
      <c r="E560" s="20" t="s">
        <v>290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1068</v>
      </c>
      <c r="B561" s="20" t="s">
        <v>279</v>
      </c>
      <c r="C561" s="20" t="s">
        <v>228</v>
      </c>
      <c r="D561" s="20" t="s">
        <v>1065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287</v>
      </c>
      <c r="B562" s="20" t="s">
        <v>279</v>
      </c>
      <c r="C562" s="20" t="s">
        <v>228</v>
      </c>
      <c r="D562" s="20" t="s">
        <v>1065</v>
      </c>
      <c r="E562" s="20" t="s">
        <v>288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289</v>
      </c>
      <c r="B563" s="20" t="s">
        <v>279</v>
      </c>
      <c r="C563" s="20" t="s">
        <v>228</v>
      </c>
      <c r="D563" s="20" t="s">
        <v>1065</v>
      </c>
      <c r="E563" s="20" t="s">
        <v>290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969</v>
      </c>
      <c r="B564" s="24" t="s">
        <v>279</v>
      </c>
      <c r="C564" s="24" t="s">
        <v>228</v>
      </c>
      <c r="D564" s="24" t="s">
        <v>1019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09" customFormat="1" ht="78.75" x14ac:dyDescent="0.25">
      <c r="A565" s="320" t="s">
        <v>1515</v>
      </c>
      <c r="B565" s="316" t="s">
        <v>279</v>
      </c>
      <c r="C565" s="316" t="s">
        <v>228</v>
      </c>
      <c r="D565" s="316" t="s">
        <v>1516</v>
      </c>
      <c r="E565" s="316"/>
      <c r="F565" s="6">
        <f>F566</f>
        <v>2636.6</v>
      </c>
      <c r="G565" s="6">
        <f>G566</f>
        <v>2636.6</v>
      </c>
    </row>
    <row r="566" spans="1:7" s="309" customFormat="1" ht="47.25" x14ac:dyDescent="0.25">
      <c r="A566" s="320" t="s">
        <v>287</v>
      </c>
      <c r="B566" s="316" t="s">
        <v>279</v>
      </c>
      <c r="C566" s="316" t="s">
        <v>228</v>
      </c>
      <c r="D566" s="316" t="s">
        <v>1516</v>
      </c>
      <c r="E566" s="316" t="s">
        <v>288</v>
      </c>
      <c r="F566" s="6">
        <f>F567</f>
        <v>2636.6</v>
      </c>
      <c r="G566" s="6">
        <f>G567</f>
        <v>2636.6</v>
      </c>
    </row>
    <row r="567" spans="1:7" s="309" customFormat="1" ht="15.75" x14ac:dyDescent="0.25">
      <c r="A567" s="320" t="s">
        <v>289</v>
      </c>
      <c r="B567" s="316" t="s">
        <v>279</v>
      </c>
      <c r="C567" s="316" t="s">
        <v>228</v>
      </c>
      <c r="D567" s="316" t="s">
        <v>1516</v>
      </c>
      <c r="E567" s="316" t="s">
        <v>290</v>
      </c>
      <c r="F567" s="6">
        <f>'пр.5.1.ведом.21-22'!G634</f>
        <v>2636.6</v>
      </c>
      <c r="G567" s="6">
        <f>'пр.5.1.ведом.21-22'!H634</f>
        <v>2636.6</v>
      </c>
    </row>
    <row r="568" spans="1:7" s="309" customFormat="1" ht="112.7" customHeight="1" x14ac:dyDescent="0.25">
      <c r="A568" s="31" t="s">
        <v>479</v>
      </c>
      <c r="B568" s="316" t="s">
        <v>279</v>
      </c>
      <c r="C568" s="316" t="s">
        <v>228</v>
      </c>
      <c r="D568" s="316" t="s">
        <v>1507</v>
      </c>
      <c r="E568" s="316"/>
      <c r="F568" s="6">
        <f>F569</f>
        <v>4841</v>
      </c>
      <c r="G568" s="6">
        <f>G569</f>
        <v>4841</v>
      </c>
    </row>
    <row r="569" spans="1:7" s="309" customFormat="1" ht="54" customHeight="1" x14ac:dyDescent="0.25">
      <c r="A569" s="320" t="s">
        <v>287</v>
      </c>
      <c r="B569" s="316" t="s">
        <v>279</v>
      </c>
      <c r="C569" s="316" t="s">
        <v>228</v>
      </c>
      <c r="D569" s="316" t="s">
        <v>1507</v>
      </c>
      <c r="E569" s="316" t="s">
        <v>288</v>
      </c>
      <c r="F569" s="6">
        <f>F570</f>
        <v>4841</v>
      </c>
      <c r="G569" s="6">
        <f>G570</f>
        <v>4841</v>
      </c>
    </row>
    <row r="570" spans="1:7" s="309" customFormat="1" ht="15.75" x14ac:dyDescent="0.25">
      <c r="A570" s="320" t="s">
        <v>289</v>
      </c>
      <c r="B570" s="316" t="s">
        <v>279</v>
      </c>
      <c r="C570" s="316" t="s">
        <v>228</v>
      </c>
      <c r="D570" s="316" t="s">
        <v>1507</v>
      </c>
      <c r="E570" s="316" t="s">
        <v>290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1449</v>
      </c>
      <c r="B571" s="20" t="s">
        <v>279</v>
      </c>
      <c r="C571" s="20" t="s">
        <v>228</v>
      </c>
      <c r="D571" s="20" t="s">
        <v>1047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1047</v>
      </c>
      <c r="E572" s="20" t="s">
        <v>288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1047</v>
      </c>
      <c r="E573" s="20" t="s">
        <v>290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304</v>
      </c>
      <c r="B574" s="20" t="s">
        <v>279</v>
      </c>
      <c r="C574" s="20" t="s">
        <v>228</v>
      </c>
      <c r="D574" s="20" t="s">
        <v>1018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1018</v>
      </c>
      <c r="E575" s="20" t="s">
        <v>288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1018</v>
      </c>
      <c r="E576" s="20" t="s">
        <v>290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306</v>
      </c>
      <c r="B577" s="20" t="s">
        <v>279</v>
      </c>
      <c r="C577" s="20" t="s">
        <v>228</v>
      </c>
      <c r="D577" s="20" t="s">
        <v>1021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287</v>
      </c>
      <c r="B578" s="20" t="s">
        <v>279</v>
      </c>
      <c r="C578" s="20" t="s">
        <v>228</v>
      </c>
      <c r="D578" s="20" t="s">
        <v>1021</v>
      </c>
      <c r="E578" s="20" t="s">
        <v>288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289</v>
      </c>
      <c r="B579" s="20" t="s">
        <v>279</v>
      </c>
      <c r="C579" s="20" t="s">
        <v>228</v>
      </c>
      <c r="D579" s="20" t="s">
        <v>1021</v>
      </c>
      <c r="E579" s="20" t="s">
        <v>290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477</v>
      </c>
      <c r="B580" s="20" t="s">
        <v>279</v>
      </c>
      <c r="C580" s="20" t="s">
        <v>228</v>
      </c>
      <c r="D580" s="20" t="s">
        <v>1048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287</v>
      </c>
      <c r="B581" s="20" t="s">
        <v>279</v>
      </c>
      <c r="C581" s="20" t="s">
        <v>228</v>
      </c>
      <c r="D581" s="20" t="s">
        <v>1048</v>
      </c>
      <c r="E581" s="20" t="s">
        <v>288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289</v>
      </c>
      <c r="B582" s="20" t="s">
        <v>279</v>
      </c>
      <c r="C582" s="20" t="s">
        <v>228</v>
      </c>
      <c r="D582" s="20" t="s">
        <v>1048</v>
      </c>
      <c r="E582" s="20" t="s">
        <v>290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479</v>
      </c>
      <c r="B583" s="20" t="s">
        <v>279</v>
      </c>
      <c r="C583" s="20" t="s">
        <v>228</v>
      </c>
      <c r="D583" s="20" t="s">
        <v>1022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287</v>
      </c>
      <c r="B584" s="20" t="s">
        <v>279</v>
      </c>
      <c r="C584" s="20" t="s">
        <v>228</v>
      </c>
      <c r="D584" s="20" t="s">
        <v>1022</v>
      </c>
      <c r="E584" s="20" t="s">
        <v>288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289</v>
      </c>
      <c r="B585" s="20" t="s">
        <v>279</v>
      </c>
      <c r="C585" s="20" t="s">
        <v>228</v>
      </c>
      <c r="D585" s="20" t="s">
        <v>1022</v>
      </c>
      <c r="E585" s="20" t="s">
        <v>290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63" t="s">
        <v>445</v>
      </c>
      <c r="B586" s="24" t="s">
        <v>279</v>
      </c>
      <c r="C586" s="24" t="s">
        <v>228</v>
      </c>
      <c r="D586" s="24" t="s">
        <v>446</v>
      </c>
      <c r="E586" s="24"/>
      <c r="F586" s="4">
        <f>F587+F600+F607+F614+F621</f>
        <v>8844.0999999999985</v>
      </c>
      <c r="G586" s="4">
        <f>G587+G600+G607+G614+G621</f>
        <v>10206.913999999999</v>
      </c>
    </row>
    <row r="587" spans="1:7" ht="31.5" x14ac:dyDescent="0.25">
      <c r="A587" s="23" t="s">
        <v>1266</v>
      </c>
      <c r="B587" s="24" t="s">
        <v>279</v>
      </c>
      <c r="C587" s="24" t="s">
        <v>228</v>
      </c>
      <c r="D587" s="24" t="s">
        <v>1028</v>
      </c>
      <c r="E587" s="24"/>
      <c r="F587" s="4">
        <f>F588+F591+F594+F597</f>
        <v>224</v>
      </c>
      <c r="G587" s="4">
        <f>G588+G591+G594+G597</f>
        <v>1546</v>
      </c>
    </row>
    <row r="588" spans="1:7" ht="47.25" hidden="1" x14ac:dyDescent="0.25">
      <c r="A588" s="25" t="s">
        <v>455</v>
      </c>
      <c r="B588" s="20" t="s">
        <v>279</v>
      </c>
      <c r="C588" s="20" t="s">
        <v>228</v>
      </c>
      <c r="D588" s="20" t="s">
        <v>1032</v>
      </c>
      <c r="E588" s="20"/>
      <c r="F588" s="6">
        <f>'Пр.3 Рд,пр, ЦС,ВР 20'!F639</f>
        <v>0</v>
      </c>
      <c r="G588" s="6">
        <f>'Пр.3 Рд,пр, ЦС,ВР 20'!G639</f>
        <v>0</v>
      </c>
    </row>
    <row r="589" spans="1:7" ht="47.25" hidden="1" x14ac:dyDescent="0.25">
      <c r="A589" s="25" t="s">
        <v>287</v>
      </c>
      <c r="B589" s="20" t="s">
        <v>279</v>
      </c>
      <c r="C589" s="20" t="s">
        <v>228</v>
      </c>
      <c r="D589" s="20" t="s">
        <v>1032</v>
      </c>
      <c r="E589" s="20" t="s">
        <v>288</v>
      </c>
      <c r="F589" s="6">
        <f>'Пр.3 Рд,пр, ЦС,ВР 20'!F640</f>
        <v>0</v>
      </c>
      <c r="G589" s="6">
        <f>'Пр.3 Рд,пр, ЦС,ВР 20'!G640</f>
        <v>0</v>
      </c>
    </row>
    <row r="590" spans="1:7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1032</v>
      </c>
      <c r="E590" s="20" t="s">
        <v>290</v>
      </c>
      <c r="F590" s="6">
        <f>'Пр.3 Рд,пр, ЦС,ВР 20'!F641</f>
        <v>0</v>
      </c>
      <c r="G590" s="6">
        <f>'Пр.3 Рд,пр, ЦС,ВР 20'!G641</f>
        <v>0</v>
      </c>
    </row>
    <row r="591" spans="1:7" ht="47.25" hidden="1" x14ac:dyDescent="0.25">
      <c r="A591" s="25" t="s">
        <v>293</v>
      </c>
      <c r="B591" s="20" t="s">
        <v>279</v>
      </c>
      <c r="C591" s="20" t="s">
        <v>228</v>
      </c>
      <c r="D591" s="20" t="s">
        <v>1033</v>
      </c>
      <c r="E591" s="20"/>
      <c r="F591" s="6">
        <f>F592</f>
        <v>0</v>
      </c>
      <c r="G591" s="6">
        <f>'Пр.3 Рд,пр, ЦС,ВР 20'!G642</f>
        <v>1322</v>
      </c>
    </row>
    <row r="592" spans="1:7" ht="47.25" hidden="1" x14ac:dyDescent="0.25">
      <c r="A592" s="25" t="s">
        <v>287</v>
      </c>
      <c r="B592" s="20" t="s">
        <v>279</v>
      </c>
      <c r="C592" s="20" t="s">
        <v>228</v>
      </c>
      <c r="D592" s="20" t="s">
        <v>1033</v>
      </c>
      <c r="E592" s="20" t="s">
        <v>288</v>
      </c>
      <c r="F592" s="6">
        <f>F593</f>
        <v>0</v>
      </c>
      <c r="G592" s="6">
        <f>'Пр.3 Рд,пр, ЦС,ВР 20'!G643</f>
        <v>1322</v>
      </c>
    </row>
    <row r="593" spans="1:7" ht="15.75" hidden="1" x14ac:dyDescent="0.25">
      <c r="A593" s="25" t="s">
        <v>289</v>
      </c>
      <c r="B593" s="20" t="s">
        <v>279</v>
      </c>
      <c r="C593" s="20" t="s">
        <v>228</v>
      </c>
      <c r="D593" s="20" t="s">
        <v>1033</v>
      </c>
      <c r="E593" s="20" t="s">
        <v>290</v>
      </c>
      <c r="F593" s="6">
        <v>0</v>
      </c>
      <c r="G593" s="6">
        <f>'Пр.3 Рд,пр, ЦС,ВР 20'!G644</f>
        <v>1322</v>
      </c>
    </row>
    <row r="594" spans="1:7" ht="31.5" hidden="1" x14ac:dyDescent="0.25">
      <c r="A594" s="25" t="s">
        <v>295</v>
      </c>
      <c r="B594" s="20" t="s">
        <v>279</v>
      </c>
      <c r="C594" s="20" t="s">
        <v>228</v>
      </c>
      <c r="D594" s="20" t="s">
        <v>1034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287</v>
      </c>
      <c r="B595" s="20" t="s">
        <v>279</v>
      </c>
      <c r="C595" s="20" t="s">
        <v>228</v>
      </c>
      <c r="D595" s="20" t="s">
        <v>1034</v>
      </c>
      <c r="E595" s="20" t="s">
        <v>288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289</v>
      </c>
      <c r="B596" s="20" t="s">
        <v>279</v>
      </c>
      <c r="C596" s="20" t="s">
        <v>228</v>
      </c>
      <c r="D596" s="20" t="s">
        <v>1034</v>
      </c>
      <c r="E596" s="20" t="s">
        <v>290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297</v>
      </c>
      <c r="B597" s="20" t="s">
        <v>279</v>
      </c>
      <c r="C597" s="20" t="s">
        <v>228</v>
      </c>
      <c r="D597" s="20" t="s">
        <v>1035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287</v>
      </c>
      <c r="B598" s="20" t="s">
        <v>279</v>
      </c>
      <c r="C598" s="20" t="s">
        <v>228</v>
      </c>
      <c r="D598" s="20" t="s">
        <v>1035</v>
      </c>
      <c r="E598" s="20" t="s">
        <v>288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289</v>
      </c>
      <c r="B599" s="20" t="s">
        <v>279</v>
      </c>
      <c r="C599" s="20" t="s">
        <v>228</v>
      </c>
      <c r="D599" s="20" t="s">
        <v>1035</v>
      </c>
      <c r="E599" s="20" t="s">
        <v>290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1029</v>
      </c>
      <c r="B600" s="24" t="s">
        <v>279</v>
      </c>
      <c r="C600" s="24" t="s">
        <v>228</v>
      </c>
      <c r="D600" s="24" t="s">
        <v>1030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617</v>
      </c>
      <c r="B601" s="20" t="s">
        <v>279</v>
      </c>
      <c r="C601" s="20" t="s">
        <v>228</v>
      </c>
      <c r="D601" s="20" t="s">
        <v>1036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287</v>
      </c>
      <c r="B602" s="20" t="s">
        <v>279</v>
      </c>
      <c r="C602" s="20" t="s">
        <v>228</v>
      </c>
      <c r="D602" s="20" t="s">
        <v>1036</v>
      </c>
      <c r="E602" s="20" t="s">
        <v>288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289</v>
      </c>
      <c r="B603" s="20" t="s">
        <v>279</v>
      </c>
      <c r="C603" s="20" t="s">
        <v>228</v>
      </c>
      <c r="D603" s="20" t="s">
        <v>1036</v>
      </c>
      <c r="E603" s="20" t="s">
        <v>290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471</v>
      </c>
      <c r="B604" s="20" t="s">
        <v>279</v>
      </c>
      <c r="C604" s="20" t="s">
        <v>228</v>
      </c>
      <c r="D604" s="20" t="s">
        <v>1037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287</v>
      </c>
      <c r="B605" s="20" t="s">
        <v>279</v>
      </c>
      <c r="C605" s="20" t="s">
        <v>228</v>
      </c>
      <c r="D605" s="20" t="s">
        <v>1037</v>
      </c>
      <c r="E605" s="20" t="s">
        <v>288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289</v>
      </c>
      <c r="B606" s="20" t="s">
        <v>279</v>
      </c>
      <c r="C606" s="20" t="s">
        <v>228</v>
      </c>
      <c r="D606" s="20" t="s">
        <v>1037</v>
      </c>
      <c r="E606" s="20" t="s">
        <v>290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1031</v>
      </c>
      <c r="B607" s="24" t="s">
        <v>279</v>
      </c>
      <c r="C607" s="24" t="s">
        <v>228</v>
      </c>
      <c r="D607" s="24" t="s">
        <v>1038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453</v>
      </c>
      <c r="B608" s="20" t="s">
        <v>279</v>
      </c>
      <c r="C608" s="20" t="s">
        <v>228</v>
      </c>
      <c r="D608" s="20" t="s">
        <v>1039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287</v>
      </c>
      <c r="B609" s="20" t="s">
        <v>279</v>
      </c>
      <c r="C609" s="20" t="s">
        <v>228</v>
      </c>
      <c r="D609" s="20" t="s">
        <v>1039</v>
      </c>
      <c r="E609" s="20" t="s">
        <v>288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289</v>
      </c>
      <c r="B610" s="20" t="s">
        <v>279</v>
      </c>
      <c r="C610" s="20" t="s">
        <v>228</v>
      </c>
      <c r="D610" s="20" t="s">
        <v>1039</v>
      </c>
      <c r="E610" s="20" t="s">
        <v>290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473</v>
      </c>
      <c r="B611" s="20" t="s">
        <v>279</v>
      </c>
      <c r="C611" s="20" t="s">
        <v>228</v>
      </c>
      <c r="D611" s="20" t="s">
        <v>1040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64" t="s">
        <v>287</v>
      </c>
      <c r="B612" s="20" t="s">
        <v>279</v>
      </c>
      <c r="C612" s="20" t="s">
        <v>228</v>
      </c>
      <c r="D612" s="20" t="s">
        <v>1040</v>
      </c>
      <c r="E612" s="20" t="s">
        <v>288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289</v>
      </c>
      <c r="B613" s="20" t="s">
        <v>279</v>
      </c>
      <c r="C613" s="20" t="s">
        <v>228</v>
      </c>
      <c r="D613" s="20" t="s">
        <v>1040</v>
      </c>
      <c r="E613" s="20" t="s">
        <v>290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24" t="s">
        <v>1075</v>
      </c>
      <c r="B614" s="24" t="s">
        <v>279</v>
      </c>
      <c r="C614" s="24" t="s">
        <v>228</v>
      </c>
      <c r="D614" s="24" t="s">
        <v>1041</v>
      </c>
      <c r="E614" s="24"/>
      <c r="F614" s="4">
        <f>F615+F618</f>
        <v>2634</v>
      </c>
      <c r="G614" s="4">
        <f>G615+G618</f>
        <v>2666.3139999999999</v>
      </c>
    </row>
    <row r="615" spans="1:7" ht="31.5" hidden="1" x14ac:dyDescent="0.25">
      <c r="A615" s="25" t="s">
        <v>299</v>
      </c>
      <c r="B615" s="20" t="s">
        <v>279</v>
      </c>
      <c r="C615" s="20" t="s">
        <v>228</v>
      </c>
      <c r="D615" s="20" t="s">
        <v>1043</v>
      </c>
      <c r="E615" s="20"/>
      <c r="F615" s="6">
        <f>F616</f>
        <v>0</v>
      </c>
      <c r="G615" s="6">
        <f>'Пр.3 Рд,пр, ЦС,ВР 20'!G666</f>
        <v>32.314</v>
      </c>
    </row>
    <row r="616" spans="1:7" ht="47.25" hidden="1" x14ac:dyDescent="0.25">
      <c r="A616" s="25" t="s">
        <v>287</v>
      </c>
      <c r="B616" s="20" t="s">
        <v>279</v>
      </c>
      <c r="C616" s="20" t="s">
        <v>228</v>
      </c>
      <c r="D616" s="20" t="s">
        <v>1043</v>
      </c>
      <c r="E616" s="20" t="s">
        <v>288</v>
      </c>
      <c r="F616" s="6">
        <f>F617</f>
        <v>0</v>
      </c>
      <c r="G616" s="6">
        <f>'Пр.3 Рд,пр, ЦС,ВР 20'!G667</f>
        <v>32.314</v>
      </c>
    </row>
    <row r="617" spans="1:7" ht="15.75" hidden="1" x14ac:dyDescent="0.25">
      <c r="A617" s="25" t="s">
        <v>289</v>
      </c>
      <c r="B617" s="20" t="s">
        <v>279</v>
      </c>
      <c r="C617" s="20" t="s">
        <v>228</v>
      </c>
      <c r="D617" s="20" t="s">
        <v>1043</v>
      </c>
      <c r="E617" s="20" t="s">
        <v>290</v>
      </c>
      <c r="F617" s="6"/>
      <c r="G617" s="6">
        <f>'Пр.3 Рд,пр, ЦС,ВР 20'!G668</f>
        <v>32.314</v>
      </c>
    </row>
    <row r="618" spans="1:7" ht="47.25" x14ac:dyDescent="0.25">
      <c r="A618" s="60" t="s">
        <v>785</v>
      </c>
      <c r="B618" s="20" t="s">
        <v>279</v>
      </c>
      <c r="C618" s="20" t="s">
        <v>228</v>
      </c>
      <c r="D618" s="20" t="s">
        <v>1044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287</v>
      </c>
      <c r="B619" s="20" t="s">
        <v>279</v>
      </c>
      <c r="C619" s="20" t="s">
        <v>228</v>
      </c>
      <c r="D619" s="20" t="s">
        <v>1044</v>
      </c>
      <c r="E619" s="20" t="s">
        <v>288</v>
      </c>
      <c r="F619" s="6">
        <f>F620</f>
        <v>2634</v>
      </c>
      <c r="G619" s="6">
        <f>G620</f>
        <v>2634</v>
      </c>
    </row>
    <row r="620" spans="1:7" ht="15.75" x14ac:dyDescent="0.25">
      <c r="A620" s="193" t="s">
        <v>289</v>
      </c>
      <c r="B620" s="20" t="s">
        <v>279</v>
      </c>
      <c r="C620" s="20" t="s">
        <v>228</v>
      </c>
      <c r="D620" s="20" t="s">
        <v>1044</v>
      </c>
      <c r="E620" s="20" t="s">
        <v>290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22" t="s">
        <v>1046</v>
      </c>
      <c r="B621" s="24" t="s">
        <v>279</v>
      </c>
      <c r="C621" s="24" t="s">
        <v>228</v>
      </c>
      <c r="D621" s="24" t="s">
        <v>1042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3" t="s">
        <v>872</v>
      </c>
      <c r="B622" s="20" t="s">
        <v>279</v>
      </c>
      <c r="C622" s="20" t="s">
        <v>228</v>
      </c>
      <c r="D622" s="20" t="s">
        <v>1045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287</v>
      </c>
      <c r="B623" s="20" t="s">
        <v>279</v>
      </c>
      <c r="C623" s="20" t="s">
        <v>228</v>
      </c>
      <c r="D623" s="20" t="s">
        <v>1045</v>
      </c>
      <c r="E623" s="20" t="s">
        <v>288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289</v>
      </c>
      <c r="B624" s="20" t="s">
        <v>279</v>
      </c>
      <c r="C624" s="20" t="s">
        <v>228</v>
      </c>
      <c r="D624" s="20" t="s">
        <v>1045</v>
      </c>
      <c r="E624" s="20" t="s">
        <v>290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803</v>
      </c>
      <c r="B625" s="24" t="s">
        <v>279</v>
      </c>
      <c r="C625" s="24" t="s">
        <v>228</v>
      </c>
      <c r="D625" s="24" t="s">
        <v>339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1188</v>
      </c>
      <c r="B626" s="24" t="s">
        <v>279</v>
      </c>
      <c r="C626" s="24" t="s">
        <v>228</v>
      </c>
      <c r="D626" s="24" t="s">
        <v>1023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1159</v>
      </c>
      <c r="B627" s="20" t="s">
        <v>279</v>
      </c>
      <c r="C627" s="20" t="s">
        <v>228</v>
      </c>
      <c r="D627" s="20" t="s">
        <v>1024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287</v>
      </c>
      <c r="B628" s="20" t="s">
        <v>279</v>
      </c>
      <c r="C628" s="20" t="s">
        <v>228</v>
      </c>
      <c r="D628" s="20" t="s">
        <v>1024</v>
      </c>
      <c r="E628" s="20" t="s">
        <v>288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289</v>
      </c>
      <c r="B629" s="20" t="s">
        <v>279</v>
      </c>
      <c r="C629" s="20" t="s">
        <v>228</v>
      </c>
      <c r="D629" s="20" t="s">
        <v>1024</v>
      </c>
      <c r="E629" s="20" t="s">
        <v>290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1417</v>
      </c>
      <c r="B630" s="24" t="s">
        <v>279</v>
      </c>
      <c r="C630" s="24" t="s">
        <v>228</v>
      </c>
      <c r="D630" s="24" t="s">
        <v>726</v>
      </c>
      <c r="E630" s="228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947</v>
      </c>
      <c r="B631" s="24" t="s">
        <v>279</v>
      </c>
      <c r="C631" s="24" t="s">
        <v>228</v>
      </c>
      <c r="D631" s="24" t="s">
        <v>945</v>
      </c>
      <c r="E631" s="228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801</v>
      </c>
      <c r="B632" s="20" t="s">
        <v>279</v>
      </c>
      <c r="C632" s="20" t="s">
        <v>228</v>
      </c>
      <c r="D632" s="20" t="s">
        <v>1025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287</v>
      </c>
      <c r="B633" s="20" t="s">
        <v>279</v>
      </c>
      <c r="C633" s="20" t="s">
        <v>228</v>
      </c>
      <c r="D633" s="20" t="s">
        <v>1025</v>
      </c>
      <c r="E633" s="32" t="s">
        <v>288</v>
      </c>
      <c r="F633" s="6">
        <f>F634</f>
        <v>723.3</v>
      </c>
      <c r="G633" s="6">
        <f>G634</f>
        <v>723.3</v>
      </c>
    </row>
    <row r="634" spans="1:7" ht="15.75" x14ac:dyDescent="0.25">
      <c r="A634" s="193" t="s">
        <v>289</v>
      </c>
      <c r="B634" s="20" t="s">
        <v>279</v>
      </c>
      <c r="C634" s="20" t="s">
        <v>228</v>
      </c>
      <c r="D634" s="20" t="s">
        <v>1025</v>
      </c>
      <c r="E634" s="32" t="s">
        <v>290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280</v>
      </c>
      <c r="B635" s="7" t="s">
        <v>279</v>
      </c>
      <c r="C635" s="7" t="s">
        <v>230</v>
      </c>
      <c r="D635" s="24"/>
      <c r="E635" s="7"/>
      <c r="F635" s="4">
        <f>F636+F664+F701</f>
        <v>52091.599999999991</v>
      </c>
      <c r="G635" s="4">
        <f>G636+G664+G701</f>
        <v>52091.599999999991</v>
      </c>
    </row>
    <row r="636" spans="1:7" ht="47.25" x14ac:dyDescent="0.25">
      <c r="A636" s="23" t="s">
        <v>1423</v>
      </c>
      <c r="B636" s="24" t="s">
        <v>279</v>
      </c>
      <c r="C636" s="24" t="s">
        <v>230</v>
      </c>
      <c r="D636" s="24" t="s">
        <v>421</v>
      </c>
      <c r="E636" s="24"/>
      <c r="F636" s="4">
        <f>F637+F655</f>
        <v>34926.199999999997</v>
      </c>
      <c r="G636" s="4">
        <f>G637+G655</f>
        <v>34926.199999999997</v>
      </c>
    </row>
    <row r="637" spans="1:7" ht="47.25" x14ac:dyDescent="0.25">
      <c r="A637" s="23" t="s">
        <v>422</v>
      </c>
      <c r="B637" s="24" t="s">
        <v>279</v>
      </c>
      <c r="C637" s="24" t="s">
        <v>230</v>
      </c>
      <c r="D637" s="24" t="s">
        <v>423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1026</v>
      </c>
      <c r="B638" s="24" t="s">
        <v>279</v>
      </c>
      <c r="C638" s="24" t="s">
        <v>230</v>
      </c>
      <c r="D638" s="24" t="s">
        <v>1004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285</v>
      </c>
      <c r="B639" s="20" t="s">
        <v>279</v>
      </c>
      <c r="C639" s="20" t="s">
        <v>230</v>
      </c>
      <c r="D639" s="20" t="s">
        <v>1049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287</v>
      </c>
      <c r="B640" s="20" t="s">
        <v>279</v>
      </c>
      <c r="C640" s="20" t="s">
        <v>230</v>
      </c>
      <c r="D640" s="20" t="s">
        <v>1049</v>
      </c>
      <c r="E640" s="20" t="s">
        <v>288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289</v>
      </c>
      <c r="B641" s="20" t="s">
        <v>279</v>
      </c>
      <c r="C641" s="20" t="s">
        <v>230</v>
      </c>
      <c r="D641" s="20" t="s">
        <v>1049</v>
      </c>
      <c r="E641" s="20" t="s">
        <v>290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969</v>
      </c>
      <c r="B642" s="24" t="s">
        <v>279</v>
      </c>
      <c r="C642" s="24" t="s">
        <v>230</v>
      </c>
      <c r="D642" s="24" t="s">
        <v>1019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09" customFormat="1" ht="126" x14ac:dyDescent="0.25">
      <c r="A643" s="31" t="s">
        <v>308</v>
      </c>
      <c r="B643" s="316" t="s">
        <v>279</v>
      </c>
      <c r="C643" s="316" t="s">
        <v>230</v>
      </c>
      <c r="D643" s="316" t="s">
        <v>1507</v>
      </c>
      <c r="E643" s="316"/>
      <c r="F643" s="6">
        <f>F644</f>
        <v>903.4</v>
      </c>
      <c r="G643" s="6">
        <f>G644</f>
        <v>903.4</v>
      </c>
    </row>
    <row r="644" spans="1:7" s="309" customFormat="1" ht="47.25" x14ac:dyDescent="0.25">
      <c r="A644" s="320" t="s">
        <v>287</v>
      </c>
      <c r="B644" s="316" t="s">
        <v>279</v>
      </c>
      <c r="C644" s="316" t="s">
        <v>230</v>
      </c>
      <c r="D644" s="316" t="s">
        <v>1507</v>
      </c>
      <c r="E644" s="316" t="s">
        <v>288</v>
      </c>
      <c r="F644" s="6">
        <f>F645</f>
        <v>903.4</v>
      </c>
      <c r="G644" s="6">
        <f>G645</f>
        <v>903.4</v>
      </c>
    </row>
    <row r="645" spans="1:7" s="309" customFormat="1" ht="15.75" x14ac:dyDescent="0.25">
      <c r="A645" s="320" t="s">
        <v>289</v>
      </c>
      <c r="B645" s="316" t="s">
        <v>279</v>
      </c>
      <c r="C645" s="316" t="s">
        <v>230</v>
      </c>
      <c r="D645" s="316" t="s">
        <v>1507</v>
      </c>
      <c r="E645" s="316" t="s">
        <v>290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304</v>
      </c>
      <c r="B646" s="20" t="s">
        <v>279</v>
      </c>
      <c r="C646" s="20" t="s">
        <v>230</v>
      </c>
      <c r="D646" s="20" t="s">
        <v>1018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287</v>
      </c>
      <c r="B647" s="20" t="s">
        <v>279</v>
      </c>
      <c r="C647" s="20" t="s">
        <v>230</v>
      </c>
      <c r="D647" s="20" t="s">
        <v>1018</v>
      </c>
      <c r="E647" s="20" t="s">
        <v>288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289</v>
      </c>
      <c r="B648" s="20" t="s">
        <v>279</v>
      </c>
      <c r="C648" s="20" t="s">
        <v>230</v>
      </c>
      <c r="D648" s="20" t="s">
        <v>1018</v>
      </c>
      <c r="E648" s="20" t="s">
        <v>290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306</v>
      </c>
      <c r="B649" s="20" t="s">
        <v>279</v>
      </c>
      <c r="C649" s="20" t="s">
        <v>230</v>
      </c>
      <c r="D649" s="20" t="s">
        <v>1021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1021</v>
      </c>
      <c r="E650" s="20" t="s">
        <v>288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289</v>
      </c>
      <c r="B651" s="20" t="s">
        <v>279</v>
      </c>
      <c r="C651" s="20" t="s">
        <v>230</v>
      </c>
      <c r="D651" s="20" t="s">
        <v>1021</v>
      </c>
      <c r="E651" s="20" t="s">
        <v>290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308</v>
      </c>
      <c r="B652" s="20" t="s">
        <v>279</v>
      </c>
      <c r="C652" s="20" t="s">
        <v>230</v>
      </c>
      <c r="D652" s="20" t="s">
        <v>1022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287</v>
      </c>
      <c r="B653" s="20" t="s">
        <v>279</v>
      </c>
      <c r="C653" s="20" t="s">
        <v>230</v>
      </c>
      <c r="D653" s="20" t="s">
        <v>1022</v>
      </c>
      <c r="E653" s="20" t="s">
        <v>288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289</v>
      </c>
      <c r="B654" s="20" t="s">
        <v>279</v>
      </c>
      <c r="C654" s="20" t="s">
        <v>230</v>
      </c>
      <c r="D654" s="20" t="s">
        <v>1022</v>
      </c>
      <c r="E654" s="20" t="s">
        <v>290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719</v>
      </c>
      <c r="B655" s="24" t="s">
        <v>279</v>
      </c>
      <c r="C655" s="24" t="s">
        <v>230</v>
      </c>
      <c r="D655" s="24" t="s">
        <v>462</v>
      </c>
      <c r="E655" s="24"/>
      <c r="F655" s="4">
        <f>F656+F660</f>
        <v>689</v>
      </c>
      <c r="G655" s="4">
        <f>G656+G660</f>
        <v>689</v>
      </c>
    </row>
    <row r="656" spans="1:7" ht="47.25" hidden="1" x14ac:dyDescent="0.25">
      <c r="A656" s="23" t="s">
        <v>1050</v>
      </c>
      <c r="B656" s="24" t="s">
        <v>279</v>
      </c>
      <c r="C656" s="24" t="s">
        <v>230</v>
      </c>
      <c r="D656" s="24" t="s">
        <v>1231</v>
      </c>
      <c r="E656" s="24"/>
      <c r="F656" s="4">
        <f>F657</f>
        <v>0</v>
      </c>
      <c r="G656" s="4">
        <f>G657</f>
        <v>0</v>
      </c>
    </row>
    <row r="657" spans="1:7" ht="31.5" hidden="1" x14ac:dyDescent="0.25">
      <c r="A657" s="45" t="s">
        <v>787</v>
      </c>
      <c r="B657" s="20" t="s">
        <v>279</v>
      </c>
      <c r="C657" s="20" t="s">
        <v>230</v>
      </c>
      <c r="D657" s="20" t="s">
        <v>1232</v>
      </c>
      <c r="E657" s="20"/>
      <c r="F657" s="6">
        <f>F658</f>
        <v>0</v>
      </c>
      <c r="G657" s="6">
        <f t="shared" ref="G657:G683" si="42">F657</f>
        <v>0</v>
      </c>
    </row>
    <row r="658" spans="1:7" ht="47.25" hidden="1" x14ac:dyDescent="0.25">
      <c r="A658" s="31" t="s">
        <v>287</v>
      </c>
      <c r="B658" s="20" t="s">
        <v>279</v>
      </c>
      <c r="C658" s="20" t="s">
        <v>230</v>
      </c>
      <c r="D658" s="20" t="s">
        <v>1232</v>
      </c>
      <c r="E658" s="20" t="s">
        <v>288</v>
      </c>
      <c r="F658" s="6">
        <f>F659</f>
        <v>0</v>
      </c>
      <c r="G658" s="6">
        <f t="shared" si="42"/>
        <v>0</v>
      </c>
    </row>
    <row r="659" spans="1:7" ht="15.75" hidden="1" x14ac:dyDescent="0.25">
      <c r="A659" s="31" t="s">
        <v>289</v>
      </c>
      <c r="B659" s="20" t="s">
        <v>279</v>
      </c>
      <c r="C659" s="20" t="s">
        <v>230</v>
      </c>
      <c r="D659" s="20" t="s">
        <v>1232</v>
      </c>
      <c r="E659" s="20" t="s">
        <v>290</v>
      </c>
      <c r="F659" s="6">
        <v>0</v>
      </c>
      <c r="G659" s="6">
        <v>0</v>
      </c>
    </row>
    <row r="660" spans="1:7" ht="47.25" x14ac:dyDescent="0.25">
      <c r="A660" s="224" t="s">
        <v>1075</v>
      </c>
      <c r="B660" s="24" t="s">
        <v>279</v>
      </c>
      <c r="C660" s="24" t="s">
        <v>230</v>
      </c>
      <c r="D660" s="24" t="s">
        <v>1051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785</v>
      </c>
      <c r="B661" s="20" t="s">
        <v>279</v>
      </c>
      <c r="C661" s="20" t="s">
        <v>230</v>
      </c>
      <c r="D661" s="20" t="s">
        <v>1052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287</v>
      </c>
      <c r="B662" s="20" t="s">
        <v>279</v>
      </c>
      <c r="C662" s="20" t="s">
        <v>230</v>
      </c>
      <c r="D662" s="20" t="s">
        <v>1052</v>
      </c>
      <c r="E662" s="20" t="s">
        <v>288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289</v>
      </c>
      <c r="B663" s="20" t="s">
        <v>279</v>
      </c>
      <c r="C663" s="20" t="s">
        <v>230</v>
      </c>
      <c r="D663" s="20" t="s">
        <v>1052</v>
      </c>
      <c r="E663" s="20" t="s">
        <v>290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1418</v>
      </c>
      <c r="B664" s="24" t="s">
        <v>279</v>
      </c>
      <c r="C664" s="24" t="s">
        <v>230</v>
      </c>
      <c r="D664" s="24" t="s">
        <v>282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1437</v>
      </c>
      <c r="B665" s="24" t="s">
        <v>279</v>
      </c>
      <c r="C665" s="24" t="s">
        <v>230</v>
      </c>
      <c r="D665" s="24" t="s">
        <v>284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939</v>
      </c>
      <c r="B666" s="24" t="s">
        <v>279</v>
      </c>
      <c r="C666" s="24" t="s">
        <v>230</v>
      </c>
      <c r="D666" s="24" t="s">
        <v>940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830</v>
      </c>
      <c r="B667" s="20" t="s">
        <v>279</v>
      </c>
      <c r="C667" s="20" t="s">
        <v>230</v>
      </c>
      <c r="D667" s="20" t="s">
        <v>938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142</v>
      </c>
      <c r="B668" s="20" t="s">
        <v>279</v>
      </c>
      <c r="C668" s="20" t="s">
        <v>230</v>
      </c>
      <c r="D668" s="20" t="s">
        <v>938</v>
      </c>
      <c r="E668" s="20" t="s">
        <v>143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357</v>
      </c>
      <c r="B669" s="20" t="s">
        <v>279</v>
      </c>
      <c r="C669" s="20" t="s">
        <v>230</v>
      </c>
      <c r="D669" s="20" t="s">
        <v>938</v>
      </c>
      <c r="E669" s="20" t="s">
        <v>224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146</v>
      </c>
      <c r="B670" s="20" t="s">
        <v>279</v>
      </c>
      <c r="C670" s="20" t="s">
        <v>230</v>
      </c>
      <c r="D670" s="20" t="s">
        <v>938</v>
      </c>
      <c r="E670" s="20" t="s">
        <v>147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148</v>
      </c>
      <c r="B671" s="20" t="s">
        <v>279</v>
      </c>
      <c r="C671" s="20" t="s">
        <v>230</v>
      </c>
      <c r="D671" s="20" t="s">
        <v>938</v>
      </c>
      <c r="E671" s="20" t="s">
        <v>149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150</v>
      </c>
      <c r="B672" s="20" t="s">
        <v>279</v>
      </c>
      <c r="C672" s="20" t="s">
        <v>230</v>
      </c>
      <c r="D672" s="20" t="s">
        <v>938</v>
      </c>
      <c r="E672" s="20" t="s">
        <v>160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725</v>
      </c>
      <c r="B673" s="20" t="s">
        <v>279</v>
      </c>
      <c r="C673" s="20" t="s">
        <v>230</v>
      </c>
      <c r="D673" s="20" t="s">
        <v>938</v>
      </c>
      <c r="E673" s="20" t="s">
        <v>153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21" t="s">
        <v>1187</v>
      </c>
      <c r="B674" s="24" t="s">
        <v>279</v>
      </c>
      <c r="C674" s="24" t="s">
        <v>230</v>
      </c>
      <c r="D674" s="24" t="s">
        <v>942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07" t="s">
        <v>829</v>
      </c>
      <c r="B675" s="20" t="s">
        <v>279</v>
      </c>
      <c r="C675" s="20" t="s">
        <v>230</v>
      </c>
      <c r="D675" s="20" t="s">
        <v>941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263</v>
      </c>
      <c r="B676" s="20" t="s">
        <v>279</v>
      </c>
      <c r="C676" s="20" t="s">
        <v>230</v>
      </c>
      <c r="D676" s="20" t="s">
        <v>941</v>
      </c>
      <c r="E676" s="20" t="s">
        <v>264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863</v>
      </c>
      <c r="B677" s="20" t="s">
        <v>279</v>
      </c>
      <c r="C677" s="20" t="s">
        <v>230</v>
      </c>
      <c r="D677" s="20" t="s">
        <v>941</v>
      </c>
      <c r="E677" s="20" t="s">
        <v>862</v>
      </c>
      <c r="F677" s="6">
        <f>'пр.5.1.ведом.21-22'!G292</f>
        <v>45</v>
      </c>
      <c r="G677" s="6">
        <f>'пр.5.1.ведом.21-22'!H292</f>
        <v>45</v>
      </c>
    </row>
    <row r="678" spans="1:7" ht="63" x14ac:dyDescent="0.25">
      <c r="A678" s="226" t="s">
        <v>1166</v>
      </c>
      <c r="B678" s="24" t="s">
        <v>279</v>
      </c>
      <c r="C678" s="24" t="s">
        <v>230</v>
      </c>
      <c r="D678" s="24" t="s">
        <v>943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858</v>
      </c>
      <c r="B679" s="20" t="s">
        <v>279</v>
      </c>
      <c r="C679" s="20" t="s">
        <v>230</v>
      </c>
      <c r="D679" s="20" t="s">
        <v>944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142</v>
      </c>
      <c r="B680" s="20" t="s">
        <v>279</v>
      </c>
      <c r="C680" s="20" t="s">
        <v>230</v>
      </c>
      <c r="D680" s="20" t="s">
        <v>944</v>
      </c>
      <c r="E680" s="20" t="s">
        <v>143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357</v>
      </c>
      <c r="B681" s="20" t="s">
        <v>279</v>
      </c>
      <c r="C681" s="20" t="s">
        <v>230</v>
      </c>
      <c r="D681" s="20" t="s">
        <v>944</v>
      </c>
      <c r="E681" s="20" t="s">
        <v>224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146</v>
      </c>
      <c r="B682" s="20" t="s">
        <v>279</v>
      </c>
      <c r="C682" s="20" t="s">
        <v>230</v>
      </c>
      <c r="D682" s="20" t="s">
        <v>944</v>
      </c>
      <c r="E682" s="20" t="s">
        <v>147</v>
      </c>
      <c r="F682" s="6">
        <f>'Пр.3 Рд,пр, ЦС,ВР 20'!F767</f>
        <v>0</v>
      </c>
      <c r="G682" s="6">
        <f t="shared" si="42"/>
        <v>0</v>
      </c>
    </row>
    <row r="683" spans="1:7" ht="47.25" hidden="1" x14ac:dyDescent="0.25">
      <c r="A683" s="25" t="s">
        <v>148</v>
      </c>
      <c r="B683" s="20" t="s">
        <v>279</v>
      </c>
      <c r="C683" s="20" t="s">
        <v>230</v>
      </c>
      <c r="D683" s="20" t="s">
        <v>944</v>
      </c>
      <c r="E683" s="20" t="s">
        <v>149</v>
      </c>
      <c r="F683" s="6">
        <f>'Пр.3 Рд,пр, ЦС,ВР 20'!F768</f>
        <v>0</v>
      </c>
      <c r="G683" s="6">
        <f t="shared" si="42"/>
        <v>0</v>
      </c>
    </row>
    <row r="684" spans="1:7" ht="47.25" x14ac:dyDescent="0.25">
      <c r="A684" s="23" t="s">
        <v>1074</v>
      </c>
      <c r="B684" s="24" t="s">
        <v>279</v>
      </c>
      <c r="C684" s="24" t="s">
        <v>230</v>
      </c>
      <c r="D684" s="24" t="s">
        <v>949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883</v>
      </c>
      <c r="B685" s="20" t="s">
        <v>279</v>
      </c>
      <c r="C685" s="20" t="s">
        <v>230</v>
      </c>
      <c r="D685" s="20" t="s">
        <v>1261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142</v>
      </c>
      <c r="B686" s="20" t="s">
        <v>279</v>
      </c>
      <c r="C686" s="20" t="s">
        <v>230</v>
      </c>
      <c r="D686" s="20" t="s">
        <v>1261</v>
      </c>
      <c r="E686" s="20" t="s">
        <v>143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144</v>
      </c>
      <c r="B687" s="20" t="s">
        <v>279</v>
      </c>
      <c r="C687" s="20" t="s">
        <v>230</v>
      </c>
      <c r="D687" s="20" t="s">
        <v>1261</v>
      </c>
      <c r="E687" s="20" t="s">
        <v>224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969</v>
      </c>
      <c r="B688" s="24" t="s">
        <v>279</v>
      </c>
      <c r="C688" s="24" t="s">
        <v>230</v>
      </c>
      <c r="D688" s="24" t="s">
        <v>1262</v>
      </c>
      <c r="E688" s="24"/>
      <c r="F688" s="4">
        <f>F692+F695+F698+F689</f>
        <v>1001.7</v>
      </c>
      <c r="G688" s="4">
        <f>G692+G695+G698+G689</f>
        <v>1001.7</v>
      </c>
    </row>
    <row r="689" spans="1:7" s="309" customFormat="1" ht="115.5" customHeight="1" x14ac:dyDescent="0.25">
      <c r="A689" s="31" t="s">
        <v>308</v>
      </c>
      <c r="B689" s="316" t="s">
        <v>279</v>
      </c>
      <c r="C689" s="316" t="s">
        <v>230</v>
      </c>
      <c r="D689" s="316" t="s">
        <v>1508</v>
      </c>
      <c r="E689" s="316"/>
      <c r="F689" s="6">
        <f>F690</f>
        <v>602.5</v>
      </c>
      <c r="G689" s="6">
        <f>G690</f>
        <v>602.5</v>
      </c>
    </row>
    <row r="690" spans="1:7" s="309" customFormat="1" ht="104.25" customHeight="1" x14ac:dyDescent="0.25">
      <c r="A690" s="320" t="s">
        <v>142</v>
      </c>
      <c r="B690" s="316" t="s">
        <v>279</v>
      </c>
      <c r="C690" s="316" t="s">
        <v>230</v>
      </c>
      <c r="D690" s="316" t="s">
        <v>1508</v>
      </c>
      <c r="E690" s="316" t="s">
        <v>143</v>
      </c>
      <c r="F690" s="6">
        <f>F691</f>
        <v>602.5</v>
      </c>
      <c r="G690" s="6">
        <f>G691</f>
        <v>602.5</v>
      </c>
    </row>
    <row r="691" spans="1:7" s="309" customFormat="1" ht="38.25" customHeight="1" x14ac:dyDescent="0.25">
      <c r="A691" s="46" t="s">
        <v>357</v>
      </c>
      <c r="B691" s="316" t="s">
        <v>279</v>
      </c>
      <c r="C691" s="316" t="s">
        <v>230</v>
      </c>
      <c r="D691" s="316" t="s">
        <v>1508</v>
      </c>
      <c r="E691" s="316" t="s">
        <v>224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304</v>
      </c>
      <c r="B692" s="20" t="s">
        <v>279</v>
      </c>
      <c r="C692" s="20" t="s">
        <v>230</v>
      </c>
      <c r="D692" s="20" t="s">
        <v>1263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142</v>
      </c>
      <c r="B693" s="20" t="s">
        <v>279</v>
      </c>
      <c r="C693" s="20" t="s">
        <v>230</v>
      </c>
      <c r="D693" s="20" t="s">
        <v>1263</v>
      </c>
      <c r="E693" s="20" t="s">
        <v>143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357</v>
      </c>
      <c r="B694" s="20" t="s">
        <v>279</v>
      </c>
      <c r="C694" s="20" t="s">
        <v>230</v>
      </c>
      <c r="D694" s="20" t="s">
        <v>1263</v>
      </c>
      <c r="E694" s="20" t="s">
        <v>224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306</v>
      </c>
      <c r="B695" s="20" t="s">
        <v>279</v>
      </c>
      <c r="C695" s="20" t="s">
        <v>230</v>
      </c>
      <c r="D695" s="20" t="s">
        <v>1264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142</v>
      </c>
      <c r="B696" s="20" t="s">
        <v>279</v>
      </c>
      <c r="C696" s="20" t="s">
        <v>230</v>
      </c>
      <c r="D696" s="20" t="s">
        <v>1264</v>
      </c>
      <c r="E696" s="20" t="s">
        <v>143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357</v>
      </c>
      <c r="B697" s="20" t="s">
        <v>279</v>
      </c>
      <c r="C697" s="20" t="s">
        <v>230</v>
      </c>
      <c r="D697" s="20" t="s">
        <v>1264</v>
      </c>
      <c r="E697" s="20" t="s">
        <v>224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308</v>
      </c>
      <c r="B698" s="20" t="s">
        <v>279</v>
      </c>
      <c r="C698" s="20" t="s">
        <v>230</v>
      </c>
      <c r="D698" s="20" t="s">
        <v>1265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142</v>
      </c>
      <c r="B699" s="20" t="s">
        <v>279</v>
      </c>
      <c r="C699" s="20" t="s">
        <v>230</v>
      </c>
      <c r="D699" s="20" t="s">
        <v>1265</v>
      </c>
      <c r="E699" s="20" t="s">
        <v>143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357</v>
      </c>
      <c r="B700" s="20" t="s">
        <v>279</v>
      </c>
      <c r="C700" s="20" t="s">
        <v>230</v>
      </c>
      <c r="D700" s="20" t="s">
        <v>1265</v>
      </c>
      <c r="E700" s="20" t="s">
        <v>224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1417</v>
      </c>
      <c r="B701" s="24" t="s">
        <v>279</v>
      </c>
      <c r="C701" s="24" t="s">
        <v>230</v>
      </c>
      <c r="D701" s="24" t="s">
        <v>726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947</v>
      </c>
      <c r="B702" s="24" t="s">
        <v>279</v>
      </c>
      <c r="C702" s="24" t="s">
        <v>230</v>
      </c>
      <c r="D702" s="24" t="s">
        <v>945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1155</v>
      </c>
      <c r="B703" s="20" t="s">
        <v>279</v>
      </c>
      <c r="C703" s="20" t="s">
        <v>230</v>
      </c>
      <c r="D703" s="20" t="s">
        <v>946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146</v>
      </c>
      <c r="B704" s="20" t="s">
        <v>279</v>
      </c>
      <c r="C704" s="20" t="s">
        <v>230</v>
      </c>
      <c r="D704" s="20" t="s">
        <v>946</v>
      </c>
      <c r="E704" s="32" t="s">
        <v>147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148</v>
      </c>
      <c r="B705" s="20" t="s">
        <v>279</v>
      </c>
      <c r="C705" s="20" t="s">
        <v>230</v>
      </c>
      <c r="D705" s="20" t="s">
        <v>946</v>
      </c>
      <c r="E705" s="32" t="s">
        <v>149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801</v>
      </c>
      <c r="B706" s="20" t="s">
        <v>279</v>
      </c>
      <c r="C706" s="20" t="s">
        <v>230</v>
      </c>
      <c r="D706" s="20" t="s">
        <v>1025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287</v>
      </c>
      <c r="B707" s="20" t="s">
        <v>279</v>
      </c>
      <c r="C707" s="20" t="s">
        <v>230</v>
      </c>
      <c r="D707" s="20" t="s">
        <v>1025</v>
      </c>
      <c r="E707" s="32" t="s">
        <v>288</v>
      </c>
      <c r="F707" s="6">
        <f>F708</f>
        <v>300.7</v>
      </c>
      <c r="G707" s="6">
        <f>G708</f>
        <v>300.7</v>
      </c>
    </row>
    <row r="708" spans="1:7" ht="15.75" x14ac:dyDescent="0.25">
      <c r="A708" s="193" t="s">
        <v>289</v>
      </c>
      <c r="B708" s="20" t="s">
        <v>279</v>
      </c>
      <c r="C708" s="20" t="s">
        <v>230</v>
      </c>
      <c r="D708" s="20" t="s">
        <v>1025</v>
      </c>
      <c r="E708" s="32" t="s">
        <v>290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481</v>
      </c>
      <c r="B709" s="24" t="s">
        <v>279</v>
      </c>
      <c r="C709" s="24" t="s">
        <v>279</v>
      </c>
      <c r="D709" s="24"/>
      <c r="E709" s="228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1415</v>
      </c>
      <c r="B710" s="24" t="s">
        <v>279</v>
      </c>
      <c r="C710" s="24" t="s">
        <v>279</v>
      </c>
      <c r="D710" s="24" t="s">
        <v>359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360</v>
      </c>
      <c r="B711" s="24" t="s">
        <v>279</v>
      </c>
      <c r="C711" s="24" t="s">
        <v>279</v>
      </c>
      <c r="D711" s="24" t="s">
        <v>361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16" t="s">
        <v>1194</v>
      </c>
      <c r="B712" s="24" t="s">
        <v>279</v>
      </c>
      <c r="C712" s="24" t="s">
        <v>279</v>
      </c>
      <c r="D712" s="24" t="s">
        <v>950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1200</v>
      </c>
      <c r="B713" s="20" t="s">
        <v>279</v>
      </c>
      <c r="C713" s="20" t="s">
        <v>279</v>
      </c>
      <c r="D713" s="20" t="s">
        <v>951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142</v>
      </c>
      <c r="B714" s="20" t="s">
        <v>279</v>
      </c>
      <c r="C714" s="20" t="s">
        <v>279</v>
      </c>
      <c r="D714" s="20" t="s">
        <v>951</v>
      </c>
      <c r="E714" s="20" t="s">
        <v>143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357</v>
      </c>
      <c r="B715" s="20" t="s">
        <v>279</v>
      </c>
      <c r="C715" s="20" t="s">
        <v>279</v>
      </c>
      <c r="D715" s="20" t="s">
        <v>951</v>
      </c>
      <c r="E715" s="20" t="s">
        <v>224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1195</v>
      </c>
      <c r="B716" s="20" t="s">
        <v>279</v>
      </c>
      <c r="C716" s="20" t="s">
        <v>279</v>
      </c>
      <c r="D716" s="20" t="s">
        <v>1219</v>
      </c>
      <c r="E716" s="20"/>
      <c r="F716" s="6">
        <f>'Пр.3 Рд,пр, ЦС,ВР 20'!F801</f>
        <v>0</v>
      </c>
      <c r="G716" s="6">
        <f t="shared" ref="G716:G718" si="47">F716</f>
        <v>0</v>
      </c>
    </row>
    <row r="717" spans="1:7" ht="31.5" hidden="1" x14ac:dyDescent="0.25">
      <c r="A717" s="25" t="s">
        <v>146</v>
      </c>
      <c r="B717" s="20" t="s">
        <v>279</v>
      </c>
      <c r="C717" s="20" t="s">
        <v>279</v>
      </c>
      <c r="D717" s="20" t="s">
        <v>1219</v>
      </c>
      <c r="E717" s="20" t="s">
        <v>147</v>
      </c>
      <c r="F717" s="6">
        <f>'Пр.3 Рд,пр, ЦС,ВР 20'!F802</f>
        <v>0</v>
      </c>
      <c r="G717" s="6">
        <f t="shared" si="47"/>
        <v>0</v>
      </c>
    </row>
    <row r="718" spans="1:7" ht="47.25" hidden="1" x14ac:dyDescent="0.25">
      <c r="A718" s="25" t="s">
        <v>148</v>
      </c>
      <c r="B718" s="20" t="s">
        <v>279</v>
      </c>
      <c r="C718" s="20" t="s">
        <v>279</v>
      </c>
      <c r="D718" s="20" t="s">
        <v>1219</v>
      </c>
      <c r="E718" s="20" t="s">
        <v>149</v>
      </c>
      <c r="F718" s="6">
        <f>'Пр.3 Рд,пр, ЦС,ВР 20'!F803</f>
        <v>0</v>
      </c>
      <c r="G718" s="6">
        <f t="shared" si="47"/>
        <v>0</v>
      </c>
    </row>
    <row r="719" spans="1:7" ht="78.75" x14ac:dyDescent="0.25">
      <c r="A719" s="23" t="s">
        <v>1196</v>
      </c>
      <c r="B719" s="24" t="s">
        <v>279</v>
      </c>
      <c r="C719" s="24" t="s">
        <v>279</v>
      </c>
      <c r="D719" s="24" t="s">
        <v>952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1197</v>
      </c>
      <c r="B720" s="20" t="s">
        <v>279</v>
      </c>
      <c r="C720" s="20" t="s">
        <v>279</v>
      </c>
      <c r="D720" s="20" t="s">
        <v>970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142</v>
      </c>
      <c r="B721" s="20" t="s">
        <v>279</v>
      </c>
      <c r="C721" s="20" t="s">
        <v>279</v>
      </c>
      <c r="D721" s="20" t="s">
        <v>970</v>
      </c>
      <c r="E721" s="20" t="s">
        <v>143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357</v>
      </c>
      <c r="B722" s="20" t="s">
        <v>279</v>
      </c>
      <c r="C722" s="20" t="s">
        <v>279</v>
      </c>
      <c r="D722" s="20" t="s">
        <v>970</v>
      </c>
      <c r="E722" s="20" t="s">
        <v>224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146</v>
      </c>
      <c r="B723" s="20" t="s">
        <v>279</v>
      </c>
      <c r="C723" s="20" t="s">
        <v>279</v>
      </c>
      <c r="D723" s="20" t="s">
        <v>970</v>
      </c>
      <c r="E723" s="20" t="s">
        <v>147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148</v>
      </c>
      <c r="B724" s="20" t="s">
        <v>279</v>
      </c>
      <c r="C724" s="20" t="s">
        <v>279</v>
      </c>
      <c r="D724" s="20" t="s">
        <v>970</v>
      </c>
      <c r="E724" s="20" t="s">
        <v>149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1202</v>
      </c>
      <c r="B725" s="24" t="s">
        <v>279</v>
      </c>
      <c r="C725" s="24" t="s">
        <v>279</v>
      </c>
      <c r="D725" s="24" t="s">
        <v>1198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39" t="s">
        <v>1199</v>
      </c>
      <c r="B726" s="20" t="s">
        <v>279</v>
      </c>
      <c r="C726" s="20" t="s">
        <v>279</v>
      </c>
      <c r="D726" s="20" t="s">
        <v>1220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263</v>
      </c>
      <c r="B727" s="20" t="s">
        <v>279</v>
      </c>
      <c r="C727" s="20" t="s">
        <v>279</v>
      </c>
      <c r="D727" s="20" t="s">
        <v>1220</v>
      </c>
      <c r="E727" s="20" t="s">
        <v>264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1478</v>
      </c>
      <c r="B728" s="20" t="s">
        <v>279</v>
      </c>
      <c r="C728" s="20" t="s">
        <v>279</v>
      </c>
      <c r="D728" s="20" t="s">
        <v>1220</v>
      </c>
      <c r="E728" s="20" t="s">
        <v>1477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1423</v>
      </c>
      <c r="B729" s="24" t="s">
        <v>279</v>
      </c>
      <c r="C729" s="24" t="s">
        <v>279</v>
      </c>
      <c r="D729" s="24" t="s">
        <v>421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482</v>
      </c>
      <c r="B730" s="24" t="s">
        <v>279</v>
      </c>
      <c r="C730" s="24" t="s">
        <v>483</v>
      </c>
      <c r="D730" s="24" t="s">
        <v>484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1054</v>
      </c>
      <c r="B731" s="24" t="s">
        <v>279</v>
      </c>
      <c r="C731" s="24" t="s">
        <v>279</v>
      </c>
      <c r="D731" s="24" t="s">
        <v>1055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1233</v>
      </c>
      <c r="B732" s="20" t="s">
        <v>279</v>
      </c>
      <c r="C732" s="20" t="s">
        <v>279</v>
      </c>
      <c r="D732" s="20" t="s">
        <v>1056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287</v>
      </c>
      <c r="B733" s="20" t="s">
        <v>279</v>
      </c>
      <c r="C733" s="20" t="s">
        <v>279</v>
      </c>
      <c r="D733" s="20" t="s">
        <v>1056</v>
      </c>
      <c r="E733" s="20" t="s">
        <v>288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289</v>
      </c>
      <c r="B734" s="20" t="s">
        <v>279</v>
      </c>
      <c r="C734" s="20" t="s">
        <v>279</v>
      </c>
      <c r="D734" s="20" t="s">
        <v>1056</v>
      </c>
      <c r="E734" s="20" t="s">
        <v>290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489</v>
      </c>
      <c r="B735" s="20" t="s">
        <v>279</v>
      </c>
      <c r="C735" s="20" t="s">
        <v>279</v>
      </c>
      <c r="D735" s="20" t="s">
        <v>1057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287</v>
      </c>
      <c r="B736" s="20" t="s">
        <v>279</v>
      </c>
      <c r="C736" s="20" t="s">
        <v>279</v>
      </c>
      <c r="D736" s="20" t="s">
        <v>1057</v>
      </c>
      <c r="E736" s="20" t="s">
        <v>288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289</v>
      </c>
      <c r="B737" s="20" t="s">
        <v>279</v>
      </c>
      <c r="C737" s="20" t="s">
        <v>279</v>
      </c>
      <c r="D737" s="20" t="s">
        <v>1057</v>
      </c>
      <c r="E737" s="20" t="s">
        <v>290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310</v>
      </c>
      <c r="B738" s="24" t="s">
        <v>279</v>
      </c>
      <c r="C738" s="24" t="s">
        <v>234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988</v>
      </c>
      <c r="B739" s="24" t="s">
        <v>279</v>
      </c>
      <c r="C739" s="24" t="s">
        <v>234</v>
      </c>
      <c r="D739" s="24" t="s">
        <v>902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989</v>
      </c>
      <c r="B740" s="24" t="s">
        <v>279</v>
      </c>
      <c r="C740" s="24" t="s">
        <v>234</v>
      </c>
      <c r="D740" s="24" t="s">
        <v>903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965</v>
      </c>
      <c r="B741" s="20" t="s">
        <v>279</v>
      </c>
      <c r="C741" s="20" t="s">
        <v>234</v>
      </c>
      <c r="D741" s="20" t="s">
        <v>904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142</v>
      </c>
      <c r="B742" s="20" t="s">
        <v>279</v>
      </c>
      <c r="C742" s="20" t="s">
        <v>234</v>
      </c>
      <c r="D742" s="20" t="s">
        <v>904</v>
      </c>
      <c r="E742" s="20" t="s">
        <v>143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144</v>
      </c>
      <c r="B743" s="20" t="s">
        <v>279</v>
      </c>
      <c r="C743" s="20" t="s">
        <v>234</v>
      </c>
      <c r="D743" s="20" t="s">
        <v>904</v>
      </c>
      <c r="E743" s="20" t="s">
        <v>145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146</v>
      </c>
      <c r="B744" s="20" t="s">
        <v>279</v>
      </c>
      <c r="C744" s="20" t="s">
        <v>234</v>
      </c>
      <c r="D744" s="20" t="s">
        <v>904</v>
      </c>
      <c r="E744" s="20" t="s">
        <v>147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148</v>
      </c>
      <c r="B745" s="20" t="s">
        <v>279</v>
      </c>
      <c r="C745" s="20" t="s">
        <v>234</v>
      </c>
      <c r="D745" s="20" t="s">
        <v>904</v>
      </c>
      <c r="E745" s="20" t="s">
        <v>149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883</v>
      </c>
      <c r="B746" s="20" t="s">
        <v>279</v>
      </c>
      <c r="C746" s="20" t="s">
        <v>234</v>
      </c>
      <c r="D746" s="20" t="s">
        <v>906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142</v>
      </c>
      <c r="B747" s="20" t="s">
        <v>279</v>
      </c>
      <c r="C747" s="20" t="s">
        <v>234</v>
      </c>
      <c r="D747" s="20" t="s">
        <v>906</v>
      </c>
      <c r="E747" s="20" t="s">
        <v>143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144</v>
      </c>
      <c r="B748" s="20" t="s">
        <v>279</v>
      </c>
      <c r="C748" s="20" t="s">
        <v>234</v>
      </c>
      <c r="D748" s="20" t="s">
        <v>906</v>
      </c>
      <c r="E748" s="20" t="s">
        <v>145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156</v>
      </c>
      <c r="B749" s="24" t="s">
        <v>279</v>
      </c>
      <c r="C749" s="24" t="s">
        <v>234</v>
      </c>
      <c r="D749" s="24" t="s">
        <v>910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914</v>
      </c>
      <c r="B750" s="24" t="s">
        <v>279</v>
      </c>
      <c r="C750" s="24" t="s">
        <v>234</v>
      </c>
      <c r="D750" s="24" t="s">
        <v>909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493</v>
      </c>
      <c r="B751" s="20" t="s">
        <v>279</v>
      </c>
      <c r="C751" s="20" t="s">
        <v>234</v>
      </c>
      <c r="D751" s="20" t="s">
        <v>1058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146</v>
      </c>
      <c r="B752" s="20" t="s">
        <v>279</v>
      </c>
      <c r="C752" s="20" t="s">
        <v>234</v>
      </c>
      <c r="D752" s="20" t="s">
        <v>1058</v>
      </c>
      <c r="E752" s="20" t="s">
        <v>147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148</v>
      </c>
      <c r="B753" s="20" t="s">
        <v>279</v>
      </c>
      <c r="C753" s="20" t="s">
        <v>234</v>
      </c>
      <c r="D753" s="20" t="s">
        <v>1058</v>
      </c>
      <c r="E753" s="20" t="s">
        <v>149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1000</v>
      </c>
      <c r="B754" s="24" t="s">
        <v>279</v>
      </c>
      <c r="C754" s="24" t="s">
        <v>234</v>
      </c>
      <c r="D754" s="24" t="s">
        <v>985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972</v>
      </c>
      <c r="B755" s="20" t="s">
        <v>279</v>
      </c>
      <c r="C755" s="20" t="s">
        <v>234</v>
      </c>
      <c r="D755" s="20" t="s">
        <v>986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142</v>
      </c>
      <c r="B756" s="20" t="s">
        <v>279</v>
      </c>
      <c r="C756" s="20" t="s">
        <v>234</v>
      </c>
      <c r="D756" s="20" t="s">
        <v>986</v>
      </c>
      <c r="E756" s="20" t="s">
        <v>143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357</v>
      </c>
      <c r="B757" s="20" t="s">
        <v>279</v>
      </c>
      <c r="C757" s="20" t="s">
        <v>234</v>
      </c>
      <c r="D757" s="20" t="s">
        <v>986</v>
      </c>
      <c r="E757" s="20" t="s">
        <v>224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146</v>
      </c>
      <c r="B758" s="20" t="s">
        <v>279</v>
      </c>
      <c r="C758" s="20" t="s">
        <v>234</v>
      </c>
      <c r="D758" s="20" t="s">
        <v>986</v>
      </c>
      <c r="E758" s="20" t="s">
        <v>147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148</v>
      </c>
      <c r="B759" s="20" t="s">
        <v>279</v>
      </c>
      <c r="C759" s="20" t="s">
        <v>234</v>
      </c>
      <c r="D759" s="20" t="s">
        <v>986</v>
      </c>
      <c r="E759" s="20" t="s">
        <v>149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150</v>
      </c>
      <c r="B760" s="20" t="s">
        <v>279</v>
      </c>
      <c r="C760" s="20" t="s">
        <v>234</v>
      </c>
      <c r="D760" s="20" t="s">
        <v>986</v>
      </c>
      <c r="E760" s="20" t="s">
        <v>160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583</v>
      </c>
      <c r="B761" s="20" t="s">
        <v>279</v>
      </c>
      <c r="C761" s="20" t="s">
        <v>234</v>
      </c>
      <c r="D761" s="20" t="s">
        <v>986</v>
      </c>
      <c r="E761" s="20" t="s">
        <v>153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883</v>
      </c>
      <c r="B762" s="20" t="s">
        <v>279</v>
      </c>
      <c r="C762" s="20" t="s">
        <v>234</v>
      </c>
      <c r="D762" s="20" t="s">
        <v>987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142</v>
      </c>
      <c r="B763" s="20" t="s">
        <v>279</v>
      </c>
      <c r="C763" s="20" t="s">
        <v>234</v>
      </c>
      <c r="D763" s="20" t="s">
        <v>987</v>
      </c>
      <c r="E763" s="20" t="s">
        <v>143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144</v>
      </c>
      <c r="B764" s="20" t="s">
        <v>279</v>
      </c>
      <c r="C764" s="20" t="s">
        <v>234</v>
      </c>
      <c r="D764" s="20" t="s">
        <v>987</v>
      </c>
      <c r="E764" s="20" t="s">
        <v>145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313</v>
      </c>
      <c r="B765" s="7" t="s">
        <v>314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315</v>
      </c>
      <c r="B766" s="7" t="s">
        <v>314</v>
      </c>
      <c r="C766" s="7" t="s">
        <v>133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1418</v>
      </c>
      <c r="B767" s="24" t="s">
        <v>314</v>
      </c>
      <c r="C767" s="24" t="s">
        <v>133</v>
      </c>
      <c r="D767" s="24" t="s">
        <v>282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1438</v>
      </c>
      <c r="B768" s="24" t="s">
        <v>314</v>
      </c>
      <c r="C768" s="24" t="s">
        <v>133</v>
      </c>
      <c r="D768" s="24" t="s">
        <v>317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954</v>
      </c>
      <c r="B769" s="24" t="s">
        <v>314</v>
      </c>
      <c r="C769" s="24" t="s">
        <v>133</v>
      </c>
      <c r="D769" s="24" t="s">
        <v>955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830</v>
      </c>
      <c r="B770" s="20" t="s">
        <v>314</v>
      </c>
      <c r="C770" s="20" t="s">
        <v>133</v>
      </c>
      <c r="D770" s="20" t="s">
        <v>953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142</v>
      </c>
      <c r="B771" s="20" t="s">
        <v>314</v>
      </c>
      <c r="C771" s="20" t="s">
        <v>133</v>
      </c>
      <c r="D771" s="20" t="s">
        <v>953</v>
      </c>
      <c r="E771" s="20" t="s">
        <v>143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223</v>
      </c>
      <c r="B772" s="20" t="s">
        <v>314</v>
      </c>
      <c r="C772" s="20" t="s">
        <v>133</v>
      </c>
      <c r="D772" s="20" t="s">
        <v>953</v>
      </c>
      <c r="E772" s="20" t="s">
        <v>224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146</v>
      </c>
      <c r="B773" s="20" t="s">
        <v>314</v>
      </c>
      <c r="C773" s="20" t="s">
        <v>133</v>
      </c>
      <c r="D773" s="20" t="s">
        <v>953</v>
      </c>
      <c r="E773" s="20" t="s">
        <v>147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148</v>
      </c>
      <c r="B774" s="20" t="s">
        <v>314</v>
      </c>
      <c r="C774" s="20" t="s">
        <v>133</v>
      </c>
      <c r="D774" s="20" t="s">
        <v>953</v>
      </c>
      <c r="E774" s="20" t="s">
        <v>149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150</v>
      </c>
      <c r="B775" s="20" t="s">
        <v>314</v>
      </c>
      <c r="C775" s="20" t="s">
        <v>133</v>
      </c>
      <c r="D775" s="20" t="s">
        <v>953</v>
      </c>
      <c r="E775" s="20" t="s">
        <v>160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583</v>
      </c>
      <c r="B776" s="20" t="s">
        <v>314</v>
      </c>
      <c r="C776" s="20" t="s">
        <v>133</v>
      </c>
      <c r="D776" s="20" t="s">
        <v>953</v>
      </c>
      <c r="E776" s="20" t="s">
        <v>153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22" t="s">
        <v>968</v>
      </c>
      <c r="B777" s="24" t="s">
        <v>314</v>
      </c>
      <c r="C777" s="24" t="s">
        <v>133</v>
      </c>
      <c r="D777" s="24" t="s">
        <v>956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858</v>
      </c>
      <c r="B778" s="20" t="s">
        <v>314</v>
      </c>
      <c r="C778" s="20" t="s">
        <v>133</v>
      </c>
      <c r="D778" s="20" t="s">
        <v>957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142</v>
      </c>
      <c r="B779" s="20" t="s">
        <v>314</v>
      </c>
      <c r="C779" s="20" t="s">
        <v>133</v>
      </c>
      <c r="D779" s="20" t="s">
        <v>957</v>
      </c>
      <c r="E779" s="20" t="s">
        <v>143</v>
      </c>
      <c r="F779" s="6">
        <f>'Пр.3 Рд,пр, ЦС,ВР 20'!F867</f>
        <v>135.39999999999998</v>
      </c>
      <c r="G779" s="6">
        <f>'Пр.3 Рд,пр, ЦС,ВР 20'!G867</f>
        <v>135.36799999999999</v>
      </c>
    </row>
    <row r="780" spans="1:7" ht="31.5" hidden="1" x14ac:dyDescent="0.25">
      <c r="A780" s="25" t="s">
        <v>223</v>
      </c>
      <c r="B780" s="20" t="s">
        <v>314</v>
      </c>
      <c r="C780" s="20" t="s">
        <v>133</v>
      </c>
      <c r="D780" s="20" t="s">
        <v>957</v>
      </c>
      <c r="E780" s="20" t="s">
        <v>224</v>
      </c>
      <c r="F780" s="6">
        <f>'Пр.3 Рд,пр, ЦС,ВР 20'!F868</f>
        <v>135.39999999999998</v>
      </c>
      <c r="G780" s="6">
        <f>'Пр.3 Рд,пр, ЦС,ВР 20'!G868</f>
        <v>135.36799999999999</v>
      </c>
    </row>
    <row r="781" spans="1:7" ht="31.5" x14ac:dyDescent="0.25">
      <c r="A781" s="25" t="s">
        <v>146</v>
      </c>
      <c r="B781" s="20" t="s">
        <v>314</v>
      </c>
      <c r="C781" s="20" t="s">
        <v>133</v>
      </c>
      <c r="D781" s="20" t="s">
        <v>957</v>
      </c>
      <c r="E781" s="20" t="s">
        <v>147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148</v>
      </c>
      <c r="B782" s="20" t="s">
        <v>314</v>
      </c>
      <c r="C782" s="20" t="s">
        <v>133</v>
      </c>
      <c r="D782" s="20" t="s">
        <v>957</v>
      </c>
      <c r="E782" s="20" t="s">
        <v>149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1074</v>
      </c>
      <c r="B783" s="24" t="s">
        <v>314</v>
      </c>
      <c r="C783" s="24" t="s">
        <v>133</v>
      </c>
      <c r="D783" s="24" t="s">
        <v>1162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883</v>
      </c>
      <c r="B784" s="20" t="s">
        <v>314</v>
      </c>
      <c r="C784" s="20" t="s">
        <v>133</v>
      </c>
      <c r="D784" s="20" t="s">
        <v>1163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142</v>
      </c>
      <c r="B785" s="20" t="s">
        <v>314</v>
      </c>
      <c r="C785" s="20" t="s">
        <v>133</v>
      </c>
      <c r="D785" s="20" t="s">
        <v>1163</v>
      </c>
      <c r="E785" s="20" t="s">
        <v>143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144</v>
      </c>
      <c r="B786" s="20" t="s">
        <v>314</v>
      </c>
      <c r="C786" s="20" t="s">
        <v>133</v>
      </c>
      <c r="D786" s="20" t="s">
        <v>1163</v>
      </c>
      <c r="E786" s="20" t="s">
        <v>224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23" t="s">
        <v>969</v>
      </c>
      <c r="B787" s="24" t="s">
        <v>314</v>
      </c>
      <c r="C787" s="24" t="s">
        <v>133</v>
      </c>
      <c r="D787" s="24" t="s">
        <v>1164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308</v>
      </c>
      <c r="B788" s="20" t="s">
        <v>314</v>
      </c>
      <c r="C788" s="20" t="s">
        <v>133</v>
      </c>
      <c r="D788" s="20" t="s">
        <v>1511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142</v>
      </c>
      <c r="B789" s="20" t="s">
        <v>314</v>
      </c>
      <c r="C789" s="20" t="s">
        <v>133</v>
      </c>
      <c r="D789" s="316" t="s">
        <v>1511</v>
      </c>
      <c r="E789" s="20" t="s">
        <v>143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223</v>
      </c>
      <c r="B790" s="20" t="s">
        <v>314</v>
      </c>
      <c r="C790" s="20" t="s">
        <v>133</v>
      </c>
      <c r="D790" s="316" t="s">
        <v>1511</v>
      </c>
      <c r="E790" s="20" t="s">
        <v>224</v>
      </c>
      <c r="F790" s="6">
        <f>'пр.5.1.ведом.21-22'!G366</f>
        <v>824.3</v>
      </c>
      <c r="G790" s="6">
        <f>'пр.5.1.ведом.21-22'!H366</f>
        <v>824.3</v>
      </c>
    </row>
    <row r="791" spans="1:7" s="210" customFormat="1" ht="47.25" x14ac:dyDescent="0.25">
      <c r="A791" s="270" t="s">
        <v>1436</v>
      </c>
      <c r="B791" s="24" t="s">
        <v>314</v>
      </c>
      <c r="C791" s="24" t="s">
        <v>133</v>
      </c>
      <c r="D791" s="24" t="s">
        <v>1435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10" customFormat="1" ht="63" x14ac:dyDescent="0.25">
      <c r="A792" s="271" t="s">
        <v>1398</v>
      </c>
      <c r="B792" s="20" t="s">
        <v>314</v>
      </c>
      <c r="C792" s="20" t="s">
        <v>133</v>
      </c>
      <c r="D792" s="20" t="s">
        <v>1434</v>
      </c>
      <c r="E792" s="20"/>
      <c r="F792" s="26">
        <f>F793</f>
        <v>2296.558</v>
      </c>
      <c r="G792" s="26">
        <f>G793</f>
        <v>0</v>
      </c>
    </row>
    <row r="793" spans="1:7" s="210" customFormat="1" ht="31.5" x14ac:dyDescent="0.25">
      <c r="A793" s="25" t="s">
        <v>146</v>
      </c>
      <c r="B793" s="20" t="s">
        <v>314</v>
      </c>
      <c r="C793" s="20" t="s">
        <v>133</v>
      </c>
      <c r="D793" s="20" t="s">
        <v>1434</v>
      </c>
      <c r="E793" s="20" t="s">
        <v>147</v>
      </c>
      <c r="F793" s="26">
        <f>F794</f>
        <v>2296.558</v>
      </c>
      <c r="G793" s="26">
        <f>G794</f>
        <v>0</v>
      </c>
    </row>
    <row r="794" spans="1:7" s="210" customFormat="1" ht="47.25" x14ac:dyDescent="0.25">
      <c r="A794" s="25" t="s">
        <v>148</v>
      </c>
      <c r="B794" s="20" t="s">
        <v>314</v>
      </c>
      <c r="C794" s="20" t="s">
        <v>133</v>
      </c>
      <c r="D794" s="20" t="s">
        <v>1434</v>
      </c>
      <c r="E794" s="20" t="s">
        <v>149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1444</v>
      </c>
      <c r="B795" s="24" t="s">
        <v>314</v>
      </c>
      <c r="C795" s="24" t="s">
        <v>133</v>
      </c>
      <c r="D795" s="24" t="s">
        <v>328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954</v>
      </c>
      <c r="B796" s="24" t="s">
        <v>314</v>
      </c>
      <c r="C796" s="24" t="s">
        <v>133</v>
      </c>
      <c r="D796" s="24" t="s">
        <v>958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830</v>
      </c>
      <c r="B797" s="20" t="s">
        <v>314</v>
      </c>
      <c r="C797" s="20" t="s">
        <v>133</v>
      </c>
      <c r="D797" s="20" t="s">
        <v>959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142</v>
      </c>
      <c r="B798" s="20" t="s">
        <v>314</v>
      </c>
      <c r="C798" s="20" t="s">
        <v>133</v>
      </c>
      <c r="D798" s="20" t="s">
        <v>959</v>
      </c>
      <c r="E798" s="20" t="s">
        <v>143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223</v>
      </c>
      <c r="B799" s="20" t="s">
        <v>314</v>
      </c>
      <c r="C799" s="20" t="s">
        <v>133</v>
      </c>
      <c r="D799" s="20" t="s">
        <v>959</v>
      </c>
      <c r="E799" s="20" t="s">
        <v>224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146</v>
      </c>
      <c r="B800" s="20" t="s">
        <v>314</v>
      </c>
      <c r="C800" s="20" t="s">
        <v>133</v>
      </c>
      <c r="D800" s="20" t="s">
        <v>959</v>
      </c>
      <c r="E800" s="20" t="s">
        <v>147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148</v>
      </c>
      <c r="B801" s="20" t="s">
        <v>314</v>
      </c>
      <c r="C801" s="20" t="s">
        <v>133</v>
      </c>
      <c r="D801" s="20" t="s">
        <v>959</v>
      </c>
      <c r="E801" s="20" t="s">
        <v>149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150</v>
      </c>
      <c r="B802" s="20" t="s">
        <v>314</v>
      </c>
      <c r="C802" s="20" t="s">
        <v>133</v>
      </c>
      <c r="D802" s="20" t="s">
        <v>959</v>
      </c>
      <c r="E802" s="20" t="s">
        <v>160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583</v>
      </c>
      <c r="B803" s="20" t="s">
        <v>314</v>
      </c>
      <c r="C803" s="20" t="s">
        <v>133</v>
      </c>
      <c r="D803" s="20" t="s">
        <v>959</v>
      </c>
      <c r="E803" s="20" t="s">
        <v>153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971</v>
      </c>
      <c r="B804" s="24" t="s">
        <v>314</v>
      </c>
      <c r="C804" s="24" t="s">
        <v>133</v>
      </c>
      <c r="D804" s="24" t="s">
        <v>960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864</v>
      </c>
      <c r="B805" s="20" t="s">
        <v>314</v>
      </c>
      <c r="C805" s="20" t="s">
        <v>133</v>
      </c>
      <c r="D805" s="20" t="s">
        <v>961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146</v>
      </c>
      <c r="B806" s="20" t="s">
        <v>314</v>
      </c>
      <c r="C806" s="20" t="s">
        <v>133</v>
      </c>
      <c r="D806" s="20" t="s">
        <v>961</v>
      </c>
      <c r="E806" s="20" t="s">
        <v>147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148</v>
      </c>
      <c r="B807" s="20" t="s">
        <v>314</v>
      </c>
      <c r="C807" s="20" t="s">
        <v>133</v>
      </c>
      <c r="D807" s="20" t="s">
        <v>961</v>
      </c>
      <c r="E807" s="20" t="s">
        <v>149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1074</v>
      </c>
      <c r="B808" s="24" t="s">
        <v>314</v>
      </c>
      <c r="C808" s="24" t="s">
        <v>133</v>
      </c>
      <c r="D808" s="24" t="s">
        <v>962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883</v>
      </c>
      <c r="B809" s="20" t="s">
        <v>314</v>
      </c>
      <c r="C809" s="20" t="s">
        <v>133</v>
      </c>
      <c r="D809" s="20" t="s">
        <v>1250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142</v>
      </c>
      <c r="B810" s="20" t="s">
        <v>314</v>
      </c>
      <c r="C810" s="20" t="s">
        <v>133</v>
      </c>
      <c r="D810" s="20" t="s">
        <v>1250</v>
      </c>
      <c r="E810" s="20" t="s">
        <v>143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144</v>
      </c>
      <c r="B811" s="20" t="s">
        <v>314</v>
      </c>
      <c r="C811" s="20" t="s">
        <v>133</v>
      </c>
      <c r="D811" s="20" t="s">
        <v>1250</v>
      </c>
      <c r="E811" s="20" t="s">
        <v>224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1161</v>
      </c>
      <c r="B812" s="24" t="s">
        <v>314</v>
      </c>
      <c r="C812" s="24" t="s">
        <v>133</v>
      </c>
      <c r="D812" s="24" t="s">
        <v>963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344</v>
      </c>
      <c r="B813" s="20" t="s">
        <v>314</v>
      </c>
      <c r="C813" s="20" t="s">
        <v>133</v>
      </c>
      <c r="D813" s="20" t="s">
        <v>1251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146</v>
      </c>
      <c r="B814" s="20" t="s">
        <v>314</v>
      </c>
      <c r="C814" s="20" t="s">
        <v>133</v>
      </c>
      <c r="D814" s="20" t="s">
        <v>1251</v>
      </c>
      <c r="E814" s="20" t="s">
        <v>147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148</v>
      </c>
      <c r="B815" s="20" t="s">
        <v>314</v>
      </c>
      <c r="C815" s="20" t="s">
        <v>133</v>
      </c>
      <c r="D815" s="20" t="s">
        <v>1251</v>
      </c>
      <c r="E815" s="20" t="s">
        <v>149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344</v>
      </c>
      <c r="B816" s="20" t="s">
        <v>314</v>
      </c>
      <c r="C816" s="20" t="s">
        <v>133</v>
      </c>
      <c r="D816" s="20" t="s">
        <v>1252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146</v>
      </c>
      <c r="B817" s="20" t="s">
        <v>314</v>
      </c>
      <c r="C817" s="20" t="s">
        <v>133</v>
      </c>
      <c r="D817" s="20" t="s">
        <v>1252</v>
      </c>
      <c r="E817" s="20" t="s">
        <v>147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148</v>
      </c>
      <c r="B818" s="20" t="s">
        <v>314</v>
      </c>
      <c r="C818" s="20" t="s">
        <v>133</v>
      </c>
      <c r="D818" s="20" t="s">
        <v>1252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23" t="s">
        <v>969</v>
      </c>
      <c r="B819" s="24" t="s">
        <v>314</v>
      </c>
      <c r="C819" s="24" t="s">
        <v>133</v>
      </c>
      <c r="D819" s="24" t="s">
        <v>1253</v>
      </c>
      <c r="E819" s="24"/>
      <c r="F819" s="295">
        <f>F823+F826+F820</f>
        <v>1596</v>
      </c>
      <c r="G819" s="295">
        <f>G823+G826+G820</f>
        <v>1596</v>
      </c>
    </row>
    <row r="820" spans="1:7" s="309" customFormat="1" ht="126" x14ac:dyDescent="0.25">
      <c r="A820" s="31" t="s">
        <v>308</v>
      </c>
      <c r="B820" s="316" t="s">
        <v>314</v>
      </c>
      <c r="C820" s="316" t="s">
        <v>133</v>
      </c>
      <c r="D820" s="316" t="s">
        <v>1512</v>
      </c>
      <c r="E820" s="316"/>
      <c r="F820" s="293">
        <f>F821</f>
        <v>1276.3</v>
      </c>
      <c r="G820" s="293">
        <f>G821</f>
        <v>1276.3</v>
      </c>
    </row>
    <row r="821" spans="1:7" s="309" customFormat="1" ht="94.5" x14ac:dyDescent="0.25">
      <c r="A821" s="320" t="s">
        <v>142</v>
      </c>
      <c r="B821" s="316" t="s">
        <v>314</v>
      </c>
      <c r="C821" s="316" t="s">
        <v>133</v>
      </c>
      <c r="D821" s="316" t="s">
        <v>1512</v>
      </c>
      <c r="E821" s="316" t="s">
        <v>143</v>
      </c>
      <c r="F821" s="293">
        <f>F822</f>
        <v>1276.3</v>
      </c>
      <c r="G821" s="293">
        <f>G822</f>
        <v>1276.3</v>
      </c>
    </row>
    <row r="822" spans="1:7" s="309" customFormat="1" ht="31.5" x14ac:dyDescent="0.25">
      <c r="A822" s="320" t="s">
        <v>223</v>
      </c>
      <c r="B822" s="316" t="s">
        <v>314</v>
      </c>
      <c r="C822" s="316" t="s">
        <v>133</v>
      </c>
      <c r="D822" s="316" t="s">
        <v>1512</v>
      </c>
      <c r="E822" s="316" t="s">
        <v>224</v>
      </c>
      <c r="F822" s="293">
        <f>'пр.5.1.ведом.21-22'!G398</f>
        <v>1276.3</v>
      </c>
      <c r="G822" s="293">
        <f>'пр.5.1.ведом.21-22'!H398</f>
        <v>1276.3</v>
      </c>
    </row>
    <row r="823" spans="1:7" ht="94.5" x14ac:dyDescent="0.25">
      <c r="A823" s="25" t="s">
        <v>346</v>
      </c>
      <c r="B823" s="20" t="s">
        <v>314</v>
      </c>
      <c r="C823" s="20" t="s">
        <v>133</v>
      </c>
      <c r="D823" s="20" t="s">
        <v>1254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142</v>
      </c>
      <c r="B824" s="20" t="s">
        <v>314</v>
      </c>
      <c r="C824" s="20" t="s">
        <v>133</v>
      </c>
      <c r="D824" s="20" t="s">
        <v>1254</v>
      </c>
      <c r="E824" s="20" t="s">
        <v>143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223</v>
      </c>
      <c r="B825" s="20" t="s">
        <v>314</v>
      </c>
      <c r="C825" s="20" t="s">
        <v>133</v>
      </c>
      <c r="D825" s="20" t="s">
        <v>1254</v>
      </c>
      <c r="E825" s="20" t="s">
        <v>224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308</v>
      </c>
      <c r="B826" s="20" t="s">
        <v>314</v>
      </c>
      <c r="C826" s="20" t="s">
        <v>133</v>
      </c>
      <c r="D826" s="20" t="s">
        <v>1255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142</v>
      </c>
      <c r="B827" s="20" t="s">
        <v>314</v>
      </c>
      <c r="C827" s="20" t="s">
        <v>133</v>
      </c>
      <c r="D827" s="20" t="s">
        <v>1255</v>
      </c>
      <c r="E827" s="20" t="s">
        <v>143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223</v>
      </c>
      <c r="B828" s="20" t="s">
        <v>314</v>
      </c>
      <c r="C828" s="20" t="s">
        <v>133</v>
      </c>
      <c r="D828" s="20" t="s">
        <v>1255</v>
      </c>
      <c r="E828" s="20" t="s">
        <v>224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803</v>
      </c>
      <c r="B829" s="24" t="s">
        <v>314</v>
      </c>
      <c r="C829" s="24" t="s">
        <v>133</v>
      </c>
      <c r="D829" s="24" t="s">
        <v>339</v>
      </c>
      <c r="E829" s="24"/>
      <c r="F829" s="295">
        <f t="shared" ref="F829:G832" si="55">F830</f>
        <v>0</v>
      </c>
      <c r="G829" s="295">
        <f t="shared" si="55"/>
        <v>0</v>
      </c>
    </row>
    <row r="830" spans="1:7" ht="63" hidden="1" x14ac:dyDescent="0.25">
      <c r="A830" s="34" t="s">
        <v>1189</v>
      </c>
      <c r="B830" s="24" t="s">
        <v>314</v>
      </c>
      <c r="C830" s="24" t="s">
        <v>133</v>
      </c>
      <c r="D830" s="24" t="s">
        <v>1023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1270</v>
      </c>
      <c r="B831" s="20" t="s">
        <v>314</v>
      </c>
      <c r="C831" s="20" t="s">
        <v>133</v>
      </c>
      <c r="D831" s="20" t="s">
        <v>1190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146</v>
      </c>
      <c r="B832" s="20" t="s">
        <v>314</v>
      </c>
      <c r="C832" s="20" t="s">
        <v>133</v>
      </c>
      <c r="D832" s="20" t="s">
        <v>1190</v>
      </c>
      <c r="E832" s="20" t="s">
        <v>147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148</v>
      </c>
      <c r="B833" s="20" t="s">
        <v>314</v>
      </c>
      <c r="C833" s="20" t="s">
        <v>133</v>
      </c>
      <c r="D833" s="20" t="s">
        <v>1190</v>
      </c>
      <c r="E833" s="20" t="s">
        <v>149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1417</v>
      </c>
      <c r="B834" s="24" t="s">
        <v>314</v>
      </c>
      <c r="C834" s="24" t="s">
        <v>133</v>
      </c>
      <c r="D834" s="24" t="s">
        <v>726</v>
      </c>
      <c r="E834" s="228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947</v>
      </c>
      <c r="B835" s="24" t="s">
        <v>314</v>
      </c>
      <c r="C835" s="24" t="s">
        <v>133</v>
      </c>
      <c r="D835" s="24" t="s">
        <v>945</v>
      </c>
      <c r="E835" s="228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1185</v>
      </c>
      <c r="B836" s="20" t="s">
        <v>314</v>
      </c>
      <c r="C836" s="20" t="s">
        <v>133</v>
      </c>
      <c r="D836" s="20" t="s">
        <v>946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146</v>
      </c>
      <c r="B837" s="20" t="s">
        <v>314</v>
      </c>
      <c r="C837" s="20" t="s">
        <v>133</v>
      </c>
      <c r="D837" s="20" t="s">
        <v>946</v>
      </c>
      <c r="E837" s="32" t="s">
        <v>147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148</v>
      </c>
      <c r="B838" s="20" t="s">
        <v>314</v>
      </c>
      <c r="C838" s="20" t="s">
        <v>133</v>
      </c>
      <c r="D838" s="20" t="s">
        <v>946</v>
      </c>
      <c r="E838" s="32" t="s">
        <v>149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348</v>
      </c>
      <c r="B839" s="24" t="s">
        <v>314</v>
      </c>
      <c r="C839" s="24" t="s">
        <v>165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988</v>
      </c>
      <c r="B840" s="24" t="s">
        <v>314</v>
      </c>
      <c r="C840" s="24" t="s">
        <v>165</v>
      </c>
      <c r="D840" s="24" t="s">
        <v>902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989</v>
      </c>
      <c r="B841" s="24" t="s">
        <v>314</v>
      </c>
      <c r="C841" s="24" t="s">
        <v>165</v>
      </c>
      <c r="D841" s="24" t="s">
        <v>903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965</v>
      </c>
      <c r="B842" s="20" t="s">
        <v>314</v>
      </c>
      <c r="C842" s="20" t="s">
        <v>165</v>
      </c>
      <c r="D842" s="20" t="s">
        <v>904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142</v>
      </c>
      <c r="B843" s="20" t="s">
        <v>314</v>
      </c>
      <c r="C843" s="20" t="s">
        <v>165</v>
      </c>
      <c r="D843" s="20" t="s">
        <v>904</v>
      </c>
      <c r="E843" s="32" t="s">
        <v>143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144</v>
      </c>
      <c r="B844" s="20" t="s">
        <v>314</v>
      </c>
      <c r="C844" s="20" t="s">
        <v>165</v>
      </c>
      <c r="D844" s="20" t="s">
        <v>904</v>
      </c>
      <c r="E844" s="40" t="s">
        <v>145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146</v>
      </c>
      <c r="B845" s="20" t="s">
        <v>314</v>
      </c>
      <c r="C845" s="20" t="s">
        <v>165</v>
      </c>
      <c r="D845" s="20" t="s">
        <v>904</v>
      </c>
      <c r="E845" s="40" t="s">
        <v>147</v>
      </c>
      <c r="F845" s="6">
        <f>'Пр.3 Рд,пр, ЦС,ВР 20'!F939</f>
        <v>0</v>
      </c>
      <c r="G845" s="6">
        <f>'Пр.3 Рд,пр, ЦС,ВР 20'!G939</f>
        <v>0</v>
      </c>
    </row>
    <row r="846" spans="1:7" ht="47.25" hidden="1" x14ac:dyDescent="0.25">
      <c r="A846" s="25" t="s">
        <v>148</v>
      </c>
      <c r="B846" s="20" t="s">
        <v>314</v>
      </c>
      <c r="C846" s="20" t="s">
        <v>165</v>
      </c>
      <c r="D846" s="20" t="s">
        <v>904</v>
      </c>
      <c r="E846" s="40" t="s">
        <v>149</v>
      </c>
      <c r="F846" s="6">
        <f>'Пр.3 Рд,пр, ЦС,ВР 20'!F940</f>
        <v>0</v>
      </c>
      <c r="G846" s="6">
        <f>'Пр.3 Рд,пр, ЦС,ВР 20'!G940</f>
        <v>0</v>
      </c>
    </row>
    <row r="847" spans="1:7" ht="47.25" x14ac:dyDescent="0.25">
      <c r="A847" s="25" t="s">
        <v>883</v>
      </c>
      <c r="B847" s="20" t="s">
        <v>314</v>
      </c>
      <c r="C847" s="20" t="s">
        <v>165</v>
      </c>
      <c r="D847" s="20" t="s">
        <v>906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142</v>
      </c>
      <c r="B848" s="20" t="s">
        <v>314</v>
      </c>
      <c r="C848" s="20" t="s">
        <v>165</v>
      </c>
      <c r="D848" s="20" t="s">
        <v>906</v>
      </c>
      <c r="E848" s="40" t="s">
        <v>143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144</v>
      </c>
      <c r="B849" s="20" t="s">
        <v>314</v>
      </c>
      <c r="C849" s="20" t="s">
        <v>165</v>
      </c>
      <c r="D849" s="20" t="s">
        <v>906</v>
      </c>
      <c r="E849" s="40" t="s">
        <v>145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997</v>
      </c>
      <c r="B850" s="24" t="s">
        <v>314</v>
      </c>
      <c r="C850" s="24" t="s">
        <v>165</v>
      </c>
      <c r="D850" s="24" t="s">
        <v>910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1000</v>
      </c>
      <c r="B851" s="24" t="s">
        <v>314</v>
      </c>
      <c r="C851" s="24" t="s">
        <v>165</v>
      </c>
      <c r="D851" s="24" t="s">
        <v>985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972</v>
      </c>
      <c r="B852" s="20" t="s">
        <v>314</v>
      </c>
      <c r="C852" s="20" t="s">
        <v>165</v>
      </c>
      <c r="D852" s="20" t="s">
        <v>986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142</v>
      </c>
      <c r="B853" s="20" t="s">
        <v>314</v>
      </c>
      <c r="C853" s="20" t="s">
        <v>165</v>
      </c>
      <c r="D853" s="20" t="s">
        <v>986</v>
      </c>
      <c r="E853" s="40" t="s">
        <v>143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357</v>
      </c>
      <c r="B854" s="20" t="s">
        <v>314</v>
      </c>
      <c r="C854" s="20" t="s">
        <v>165</v>
      </c>
      <c r="D854" s="20" t="s">
        <v>986</v>
      </c>
      <c r="E854" s="40" t="s">
        <v>224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146</v>
      </c>
      <c r="B855" s="20" t="s">
        <v>314</v>
      </c>
      <c r="C855" s="20" t="s">
        <v>165</v>
      </c>
      <c r="D855" s="20" t="s">
        <v>986</v>
      </c>
      <c r="E855" s="40" t="s">
        <v>147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148</v>
      </c>
      <c r="B856" s="20" t="s">
        <v>314</v>
      </c>
      <c r="C856" s="20" t="s">
        <v>165</v>
      </c>
      <c r="D856" s="20" t="s">
        <v>986</v>
      </c>
      <c r="E856" s="40" t="s">
        <v>149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150</v>
      </c>
      <c r="B857" s="20" t="s">
        <v>314</v>
      </c>
      <c r="C857" s="20" t="s">
        <v>165</v>
      </c>
      <c r="D857" s="20" t="s">
        <v>986</v>
      </c>
      <c r="E857" s="40" t="s">
        <v>160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583</v>
      </c>
      <c r="B858" s="20" t="s">
        <v>314</v>
      </c>
      <c r="C858" s="20" t="s">
        <v>165</v>
      </c>
      <c r="D858" s="20" t="s">
        <v>986</v>
      </c>
      <c r="E858" s="40" t="s">
        <v>153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883</v>
      </c>
      <c r="B859" s="20" t="s">
        <v>314</v>
      </c>
      <c r="C859" s="20" t="s">
        <v>165</v>
      </c>
      <c r="D859" s="20" t="s">
        <v>987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142</v>
      </c>
      <c r="B860" s="20" t="s">
        <v>314</v>
      </c>
      <c r="C860" s="20" t="s">
        <v>165</v>
      </c>
      <c r="D860" s="20" t="s">
        <v>987</v>
      </c>
      <c r="E860" s="40" t="s">
        <v>143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144</v>
      </c>
      <c r="B861" s="20" t="s">
        <v>314</v>
      </c>
      <c r="C861" s="20" t="s">
        <v>165</v>
      </c>
      <c r="D861" s="20" t="s">
        <v>987</v>
      </c>
      <c r="E861" s="40" t="s">
        <v>224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1415</v>
      </c>
      <c r="B862" s="24" t="s">
        <v>314</v>
      </c>
      <c r="C862" s="24" t="s">
        <v>165</v>
      </c>
      <c r="D862" s="24" t="s">
        <v>359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379</v>
      </c>
      <c r="B863" s="24" t="s">
        <v>314</v>
      </c>
      <c r="C863" s="24" t="s">
        <v>165</v>
      </c>
      <c r="D863" s="24" t="s">
        <v>380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1145</v>
      </c>
      <c r="B864" s="24" t="s">
        <v>314</v>
      </c>
      <c r="C864" s="24" t="s">
        <v>165</v>
      </c>
      <c r="D864" s="24" t="s">
        <v>964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1144</v>
      </c>
      <c r="B865" s="20" t="s">
        <v>314</v>
      </c>
      <c r="C865" s="20" t="s">
        <v>165</v>
      </c>
      <c r="D865" s="20" t="s">
        <v>1221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146</v>
      </c>
      <c r="B866" s="20" t="s">
        <v>314</v>
      </c>
      <c r="C866" s="20" t="s">
        <v>165</v>
      </c>
      <c r="D866" s="20" t="s">
        <v>1221</v>
      </c>
      <c r="E866" s="40" t="s">
        <v>147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148</v>
      </c>
      <c r="B867" s="20" t="s">
        <v>314</v>
      </c>
      <c r="C867" s="20" t="s">
        <v>165</v>
      </c>
      <c r="D867" s="20" t="s">
        <v>1221</v>
      </c>
      <c r="E867" s="40" t="s">
        <v>149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258</v>
      </c>
      <c r="B868" s="24" t="s">
        <v>259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260</v>
      </c>
      <c r="B869" s="24" t="s">
        <v>259</v>
      </c>
      <c r="C869" s="24" t="s">
        <v>133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156</v>
      </c>
      <c r="B870" s="24" t="s">
        <v>259</v>
      </c>
      <c r="C870" s="24" t="s">
        <v>133</v>
      </c>
      <c r="D870" s="24" t="s">
        <v>910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914</v>
      </c>
      <c r="B871" s="24" t="s">
        <v>259</v>
      </c>
      <c r="C871" s="24" t="s">
        <v>133</v>
      </c>
      <c r="D871" s="24" t="s">
        <v>909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261</v>
      </c>
      <c r="B872" s="20" t="s">
        <v>259</v>
      </c>
      <c r="C872" s="20" t="s">
        <v>133</v>
      </c>
      <c r="D872" s="20" t="s">
        <v>926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263</v>
      </c>
      <c r="B873" s="20" t="s">
        <v>259</v>
      </c>
      <c r="C873" s="20" t="s">
        <v>133</v>
      </c>
      <c r="D873" s="20" t="s">
        <v>926</v>
      </c>
      <c r="E873" s="20" t="s">
        <v>264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265</v>
      </c>
      <c r="B874" s="20" t="s">
        <v>259</v>
      </c>
      <c r="C874" s="20" t="s">
        <v>133</v>
      </c>
      <c r="D874" s="20" t="s">
        <v>926</v>
      </c>
      <c r="E874" s="20" t="s">
        <v>266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267</v>
      </c>
      <c r="B875" s="24" t="s">
        <v>259</v>
      </c>
      <c r="C875" s="24" t="s">
        <v>230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1415</v>
      </c>
      <c r="B876" s="24" t="s">
        <v>259</v>
      </c>
      <c r="C876" s="24" t="s">
        <v>230</v>
      </c>
      <c r="D876" s="24" t="s">
        <v>359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367</v>
      </c>
      <c r="B877" s="24" t="s">
        <v>259</v>
      </c>
      <c r="C877" s="24" t="s">
        <v>230</v>
      </c>
      <c r="D877" s="24" t="s">
        <v>368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974</v>
      </c>
      <c r="B878" s="24" t="s">
        <v>259</v>
      </c>
      <c r="C878" s="24" t="s">
        <v>230</v>
      </c>
      <c r="D878" s="24" t="s">
        <v>973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867</v>
      </c>
      <c r="B879" s="20" t="s">
        <v>259</v>
      </c>
      <c r="C879" s="20" t="s">
        <v>230</v>
      </c>
      <c r="D879" s="20" t="s">
        <v>975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263</v>
      </c>
      <c r="B880" s="20" t="s">
        <v>259</v>
      </c>
      <c r="C880" s="20" t="s">
        <v>230</v>
      </c>
      <c r="D880" s="20" t="s">
        <v>975</v>
      </c>
      <c r="E880" s="20" t="s">
        <v>264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265</v>
      </c>
      <c r="B881" s="20" t="s">
        <v>259</v>
      </c>
      <c r="C881" s="20" t="s">
        <v>230</v>
      </c>
      <c r="D881" s="20" t="s">
        <v>975</v>
      </c>
      <c r="E881" s="20" t="s">
        <v>266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370</v>
      </c>
      <c r="B882" s="19">
        <v>10</v>
      </c>
      <c r="C882" s="24" t="s">
        <v>230</v>
      </c>
      <c r="D882" s="24" t="s">
        <v>371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1146</v>
      </c>
      <c r="B883" s="19">
        <v>10</v>
      </c>
      <c r="C883" s="24" t="s">
        <v>230</v>
      </c>
      <c r="D883" s="24" t="s">
        <v>976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1201</v>
      </c>
      <c r="B884" s="20" t="s">
        <v>259</v>
      </c>
      <c r="C884" s="20" t="s">
        <v>230</v>
      </c>
      <c r="D884" s="20" t="s">
        <v>977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263</v>
      </c>
      <c r="B885" s="20" t="s">
        <v>259</v>
      </c>
      <c r="C885" s="20" t="s">
        <v>230</v>
      </c>
      <c r="D885" s="20" t="s">
        <v>977</v>
      </c>
      <c r="E885" s="20" t="s">
        <v>264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363</v>
      </c>
      <c r="B886" s="20" t="s">
        <v>259</v>
      </c>
      <c r="C886" s="20" t="s">
        <v>230</v>
      </c>
      <c r="D886" s="20" t="s">
        <v>977</v>
      </c>
      <c r="E886" s="20" t="s">
        <v>364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373</v>
      </c>
      <c r="B887" s="19">
        <v>10</v>
      </c>
      <c r="C887" s="24" t="s">
        <v>230</v>
      </c>
      <c r="D887" s="24" t="s">
        <v>374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1203</v>
      </c>
      <c r="B888" s="24" t="s">
        <v>259</v>
      </c>
      <c r="C888" s="24" t="s">
        <v>230</v>
      </c>
      <c r="D888" s="24" t="s">
        <v>979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1204</v>
      </c>
      <c r="B889" s="20" t="s">
        <v>259</v>
      </c>
      <c r="C889" s="20" t="s">
        <v>230</v>
      </c>
      <c r="D889" s="20" t="s">
        <v>980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263</v>
      </c>
      <c r="B890" s="20" t="s">
        <v>259</v>
      </c>
      <c r="C890" s="20" t="s">
        <v>230</v>
      </c>
      <c r="D890" s="20" t="s">
        <v>980</v>
      </c>
      <c r="E890" s="20" t="s">
        <v>264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363</v>
      </c>
      <c r="B891" s="20" t="s">
        <v>259</v>
      </c>
      <c r="C891" s="20" t="s">
        <v>230</v>
      </c>
      <c r="D891" s="20" t="s">
        <v>980</v>
      </c>
      <c r="E891" s="20" t="s">
        <v>364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978</v>
      </c>
      <c r="B892" s="19">
        <v>10</v>
      </c>
      <c r="C892" s="24" t="s">
        <v>230</v>
      </c>
      <c r="D892" s="24" t="s">
        <v>981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1147</v>
      </c>
      <c r="B893" s="20" t="s">
        <v>259</v>
      </c>
      <c r="C893" s="20" t="s">
        <v>230</v>
      </c>
      <c r="D893" s="20" t="s">
        <v>982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146</v>
      </c>
      <c r="B894" s="20" t="s">
        <v>259</v>
      </c>
      <c r="C894" s="20" t="s">
        <v>230</v>
      </c>
      <c r="D894" s="20" t="s">
        <v>982</v>
      </c>
      <c r="E894" s="20" t="s">
        <v>147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148</v>
      </c>
      <c r="B895" s="20" t="s">
        <v>259</v>
      </c>
      <c r="C895" s="20" t="s">
        <v>230</v>
      </c>
      <c r="D895" s="20" t="s">
        <v>982</v>
      </c>
      <c r="E895" s="20" t="s">
        <v>149</v>
      </c>
      <c r="F895" s="6">
        <f>'пр.5.1.ведом.21-22'!G465</f>
        <v>270</v>
      </c>
      <c r="G895" s="6">
        <f>'пр.5.1.ведом.21-22'!H465</f>
        <v>270</v>
      </c>
    </row>
    <row r="896" spans="1:7" s="210" customFormat="1" ht="31.5" x14ac:dyDescent="0.25">
      <c r="A896" s="25" t="s">
        <v>263</v>
      </c>
      <c r="B896" s="20" t="s">
        <v>259</v>
      </c>
      <c r="C896" s="20" t="s">
        <v>230</v>
      </c>
      <c r="D896" s="20" t="s">
        <v>982</v>
      </c>
      <c r="E896" s="20" t="s">
        <v>264</v>
      </c>
      <c r="F896" s="6">
        <f>F897</f>
        <v>210</v>
      </c>
      <c r="G896" s="6">
        <f>G897</f>
        <v>210</v>
      </c>
    </row>
    <row r="897" spans="1:7" s="210" customFormat="1" ht="31.5" x14ac:dyDescent="0.25">
      <c r="A897" s="25" t="s">
        <v>363</v>
      </c>
      <c r="B897" s="20" t="s">
        <v>259</v>
      </c>
      <c r="C897" s="20" t="s">
        <v>230</v>
      </c>
      <c r="D897" s="20" t="s">
        <v>982</v>
      </c>
      <c r="E897" s="20" t="s">
        <v>364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376</v>
      </c>
      <c r="B898" s="24" t="s">
        <v>259</v>
      </c>
      <c r="C898" s="24" t="s">
        <v>230</v>
      </c>
      <c r="D898" s="24" t="s">
        <v>377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1206</v>
      </c>
      <c r="B899" s="24" t="s">
        <v>259</v>
      </c>
      <c r="C899" s="24" t="s">
        <v>230</v>
      </c>
      <c r="D899" s="24" t="s">
        <v>984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1205</v>
      </c>
      <c r="B900" s="20" t="s">
        <v>259</v>
      </c>
      <c r="C900" s="20" t="s">
        <v>230</v>
      </c>
      <c r="D900" s="20" t="s">
        <v>983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263</v>
      </c>
      <c r="B901" s="20" t="s">
        <v>259</v>
      </c>
      <c r="C901" s="20" t="s">
        <v>230</v>
      </c>
      <c r="D901" s="20" t="s">
        <v>983</v>
      </c>
      <c r="E901" s="20" t="s">
        <v>264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363</v>
      </c>
      <c r="B902" s="20" t="s">
        <v>259</v>
      </c>
      <c r="C902" s="20" t="s">
        <v>230</v>
      </c>
      <c r="D902" s="20" t="s">
        <v>983</v>
      </c>
      <c r="E902" s="20" t="s">
        <v>364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1439</v>
      </c>
      <c r="B903" s="24" t="s">
        <v>259</v>
      </c>
      <c r="C903" s="24" t="s">
        <v>230</v>
      </c>
      <c r="D903" s="24" t="s">
        <v>269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929</v>
      </c>
      <c r="B904" s="24" t="s">
        <v>259</v>
      </c>
      <c r="C904" s="24" t="s">
        <v>230</v>
      </c>
      <c r="D904" s="24" t="s">
        <v>927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928</v>
      </c>
      <c r="B905" s="20" t="s">
        <v>259</v>
      </c>
      <c r="C905" s="20" t="s">
        <v>230</v>
      </c>
      <c r="D905" s="20" t="s">
        <v>1460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263</v>
      </c>
      <c r="B906" s="20" t="s">
        <v>259</v>
      </c>
      <c r="C906" s="20" t="s">
        <v>230</v>
      </c>
      <c r="D906" s="20" t="s">
        <v>1460</v>
      </c>
      <c r="E906" s="20" t="s">
        <v>264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265</v>
      </c>
      <c r="B907" s="20" t="s">
        <v>259</v>
      </c>
      <c r="C907" s="20" t="s">
        <v>230</v>
      </c>
      <c r="D907" s="20" t="s">
        <v>1460</v>
      </c>
      <c r="E907" s="20" t="s">
        <v>266</v>
      </c>
      <c r="F907" s="6">
        <f>'пр.5.1.ведом.21-22'!G202</f>
        <v>10</v>
      </c>
      <c r="G907" s="6">
        <f>'пр.5.1.ведом.21-22'!H202</f>
        <v>10</v>
      </c>
    </row>
    <row r="908" spans="1:7" s="210" customFormat="1" ht="78.75" x14ac:dyDescent="0.25">
      <c r="A908" s="25" t="s">
        <v>1410</v>
      </c>
      <c r="B908" s="20" t="s">
        <v>259</v>
      </c>
      <c r="C908" s="20" t="s">
        <v>230</v>
      </c>
      <c r="D908" s="20" t="s">
        <v>1409</v>
      </c>
      <c r="E908" s="20"/>
      <c r="F908" s="26">
        <f>F909</f>
        <v>5000</v>
      </c>
      <c r="G908" s="26">
        <f>G909</f>
        <v>0</v>
      </c>
    </row>
    <row r="909" spans="1:7" s="210" customFormat="1" ht="31.5" x14ac:dyDescent="0.25">
      <c r="A909" s="25" t="s">
        <v>263</v>
      </c>
      <c r="B909" s="20" t="s">
        <v>259</v>
      </c>
      <c r="C909" s="20" t="s">
        <v>230</v>
      </c>
      <c r="D909" s="20" t="s">
        <v>1409</v>
      </c>
      <c r="E909" s="20" t="s">
        <v>264</v>
      </c>
      <c r="F909" s="26">
        <f>F910</f>
        <v>5000</v>
      </c>
      <c r="G909" s="26">
        <f>G910</f>
        <v>0</v>
      </c>
    </row>
    <row r="910" spans="1:7" s="210" customFormat="1" ht="47.25" x14ac:dyDescent="0.25">
      <c r="A910" s="25" t="s">
        <v>265</v>
      </c>
      <c r="B910" s="20" t="s">
        <v>259</v>
      </c>
      <c r="C910" s="20" t="s">
        <v>230</v>
      </c>
      <c r="D910" s="20" t="s">
        <v>1409</v>
      </c>
      <c r="E910" s="20" t="s">
        <v>266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273</v>
      </c>
      <c r="B911" s="24" t="s">
        <v>259</v>
      </c>
      <c r="C911" s="24" t="s">
        <v>135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988</v>
      </c>
      <c r="B912" s="24" t="s">
        <v>259</v>
      </c>
      <c r="C912" s="24" t="s">
        <v>135</v>
      </c>
      <c r="D912" s="24" t="s">
        <v>902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930</v>
      </c>
      <c r="B913" s="24" t="s">
        <v>259</v>
      </c>
      <c r="C913" s="24" t="s">
        <v>135</v>
      </c>
      <c r="D913" s="24" t="s">
        <v>907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274</v>
      </c>
      <c r="B914" s="20" t="s">
        <v>259</v>
      </c>
      <c r="C914" s="20" t="s">
        <v>135</v>
      </c>
      <c r="D914" s="20" t="s">
        <v>996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142</v>
      </c>
      <c r="B915" s="20" t="s">
        <v>259</v>
      </c>
      <c r="C915" s="20" t="s">
        <v>135</v>
      </c>
      <c r="D915" s="20" t="s">
        <v>996</v>
      </c>
      <c r="E915" s="20" t="s">
        <v>143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144</v>
      </c>
      <c r="B916" s="20" t="s">
        <v>259</v>
      </c>
      <c r="C916" s="20" t="s">
        <v>135</v>
      </c>
      <c r="D916" s="20" t="s">
        <v>996</v>
      </c>
      <c r="E916" s="20" t="s">
        <v>145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146</v>
      </c>
      <c r="B917" s="20" t="s">
        <v>259</v>
      </c>
      <c r="C917" s="20" t="s">
        <v>135</v>
      </c>
      <c r="D917" s="20" t="s">
        <v>996</v>
      </c>
      <c r="E917" s="20" t="s">
        <v>147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148</v>
      </c>
      <c r="B918" s="20" t="s">
        <v>259</v>
      </c>
      <c r="C918" s="20" t="s">
        <v>135</v>
      </c>
      <c r="D918" s="20" t="s">
        <v>996</v>
      </c>
      <c r="E918" s="20" t="s">
        <v>149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156</v>
      </c>
      <c r="B919" s="24" t="s">
        <v>259</v>
      </c>
      <c r="C919" s="24" t="s">
        <v>135</v>
      </c>
      <c r="D919" s="24" t="s">
        <v>910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914</v>
      </c>
      <c r="B920" s="24" t="s">
        <v>259</v>
      </c>
      <c r="C920" s="24" t="s">
        <v>135</v>
      </c>
      <c r="D920" s="24" t="s">
        <v>909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587</v>
      </c>
      <c r="B921" s="20" t="s">
        <v>259</v>
      </c>
      <c r="C921" s="20" t="s">
        <v>135</v>
      </c>
      <c r="D921" s="20" t="s">
        <v>1131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146</v>
      </c>
      <c r="B922" s="20" t="s">
        <v>259</v>
      </c>
      <c r="C922" s="20" t="s">
        <v>135</v>
      </c>
      <c r="D922" s="20" t="s">
        <v>1131</v>
      </c>
      <c r="E922" s="20" t="s">
        <v>147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148</v>
      </c>
      <c r="B923" s="20" t="s">
        <v>259</v>
      </c>
      <c r="C923" s="20" t="s">
        <v>135</v>
      </c>
      <c r="D923" s="20" t="s">
        <v>1131</v>
      </c>
      <c r="E923" s="20" t="s">
        <v>149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505</v>
      </c>
      <c r="B924" s="7" t="s">
        <v>506</v>
      </c>
      <c r="C924" s="40"/>
      <c r="D924" s="40"/>
      <c r="E924" s="40"/>
      <c r="F924" s="4">
        <f>F925+F964</f>
        <v>58483.6</v>
      </c>
      <c r="G924" s="4">
        <f>G925+G964</f>
        <v>58735.6</v>
      </c>
    </row>
    <row r="925" spans="1:7" ht="15.75" x14ac:dyDescent="0.25">
      <c r="A925" s="23" t="s">
        <v>507</v>
      </c>
      <c r="B925" s="24" t="s">
        <v>506</v>
      </c>
      <c r="C925" s="24" t="s">
        <v>133</v>
      </c>
      <c r="D925" s="20"/>
      <c r="E925" s="20"/>
      <c r="F925" s="4">
        <f>F926+F959</f>
        <v>46727.6</v>
      </c>
      <c r="G925" s="4">
        <f>G926+G959</f>
        <v>46979.6</v>
      </c>
    </row>
    <row r="926" spans="1:7" ht="63" x14ac:dyDescent="0.25">
      <c r="A926" s="23" t="s">
        <v>1425</v>
      </c>
      <c r="B926" s="24" t="s">
        <v>506</v>
      </c>
      <c r="C926" s="24" t="s">
        <v>133</v>
      </c>
      <c r="D926" s="24" t="s">
        <v>497</v>
      </c>
      <c r="E926" s="24"/>
      <c r="F926" s="4">
        <f t="shared" ref="F926:G926" si="69">F927</f>
        <v>46187.5</v>
      </c>
      <c r="G926" s="4">
        <f t="shared" si="69"/>
        <v>46439.5</v>
      </c>
    </row>
    <row r="927" spans="1:7" ht="47.25" x14ac:dyDescent="0.25">
      <c r="A927" s="23" t="s">
        <v>1440</v>
      </c>
      <c r="B927" s="24" t="s">
        <v>506</v>
      </c>
      <c r="C927" s="24" t="s">
        <v>133</v>
      </c>
      <c r="D927" s="24" t="s">
        <v>509</v>
      </c>
      <c r="E927" s="24"/>
      <c r="F927" s="4">
        <f>F928+F938+F948+F955</f>
        <v>46187.5</v>
      </c>
      <c r="G927" s="4">
        <f>G928+G938+G948+G955</f>
        <v>46439.5</v>
      </c>
    </row>
    <row r="928" spans="1:7" ht="47.25" x14ac:dyDescent="0.25">
      <c r="A928" s="23" t="s">
        <v>1026</v>
      </c>
      <c r="B928" s="24" t="s">
        <v>506</v>
      </c>
      <c r="C928" s="24" t="s">
        <v>133</v>
      </c>
      <c r="D928" s="24" t="s">
        <v>1059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835</v>
      </c>
      <c r="B929" s="20" t="s">
        <v>506</v>
      </c>
      <c r="C929" s="20" t="s">
        <v>133</v>
      </c>
      <c r="D929" s="20" t="s">
        <v>1069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287</v>
      </c>
      <c r="B930" s="20" t="s">
        <v>506</v>
      </c>
      <c r="C930" s="20" t="s">
        <v>133</v>
      </c>
      <c r="D930" s="20" t="s">
        <v>1069</v>
      </c>
      <c r="E930" s="20" t="s">
        <v>288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289</v>
      </c>
      <c r="B931" s="20" t="s">
        <v>506</v>
      </c>
      <c r="C931" s="20" t="s">
        <v>133</v>
      </c>
      <c r="D931" s="20" t="s">
        <v>1069</v>
      </c>
      <c r="E931" s="20" t="s">
        <v>290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856</v>
      </c>
      <c r="B932" s="20" t="s">
        <v>506</v>
      </c>
      <c r="C932" s="20" t="s">
        <v>133</v>
      </c>
      <c r="D932" s="20" t="s">
        <v>1070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287</v>
      </c>
      <c r="B933" s="20" t="s">
        <v>506</v>
      </c>
      <c r="C933" s="20" t="s">
        <v>133</v>
      </c>
      <c r="D933" s="20" t="s">
        <v>1070</v>
      </c>
      <c r="E933" s="20" t="s">
        <v>288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289</v>
      </c>
      <c r="B934" s="20" t="s">
        <v>506</v>
      </c>
      <c r="C934" s="20" t="s">
        <v>133</v>
      </c>
      <c r="D934" s="20" t="s">
        <v>1070</v>
      </c>
      <c r="E934" s="20" t="s">
        <v>290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857</v>
      </c>
      <c r="B935" s="20" t="s">
        <v>506</v>
      </c>
      <c r="C935" s="20" t="s">
        <v>133</v>
      </c>
      <c r="D935" s="20" t="s">
        <v>1071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287</v>
      </c>
      <c r="B936" s="20" t="s">
        <v>506</v>
      </c>
      <c r="C936" s="20" t="s">
        <v>133</v>
      </c>
      <c r="D936" s="20" t="s">
        <v>1071</v>
      </c>
      <c r="E936" s="20" t="s">
        <v>288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289</v>
      </c>
      <c r="B937" s="20" t="s">
        <v>506</v>
      </c>
      <c r="C937" s="20" t="s">
        <v>133</v>
      </c>
      <c r="D937" s="20" t="s">
        <v>1071</v>
      </c>
      <c r="E937" s="20" t="s">
        <v>290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1072</v>
      </c>
      <c r="B938" s="24" t="s">
        <v>506</v>
      </c>
      <c r="C938" s="24" t="s">
        <v>133</v>
      </c>
      <c r="D938" s="24" t="s">
        <v>1073</v>
      </c>
      <c r="E938" s="24"/>
      <c r="F938" s="4">
        <f>F939+F942+F945</f>
        <v>36</v>
      </c>
      <c r="G938" s="4">
        <f>G939+G942+G945</f>
        <v>288</v>
      </c>
    </row>
    <row r="939" spans="1:7" ht="47.25" hidden="1" x14ac:dyDescent="0.25">
      <c r="A939" s="25" t="s">
        <v>293</v>
      </c>
      <c r="B939" s="20" t="s">
        <v>506</v>
      </c>
      <c r="C939" s="20" t="s">
        <v>133</v>
      </c>
      <c r="D939" s="20" t="s">
        <v>1077</v>
      </c>
      <c r="E939" s="20"/>
      <c r="F939" s="6">
        <f>F940</f>
        <v>0</v>
      </c>
      <c r="G939" s="6">
        <f>'Пр.3 Рд,пр, ЦС,ВР 20'!G1042</f>
        <v>252</v>
      </c>
    </row>
    <row r="940" spans="1:7" ht="47.25" hidden="1" x14ac:dyDescent="0.25">
      <c r="A940" s="25" t="s">
        <v>287</v>
      </c>
      <c r="B940" s="20" t="s">
        <v>506</v>
      </c>
      <c r="C940" s="20" t="s">
        <v>133</v>
      </c>
      <c r="D940" s="20" t="s">
        <v>1077</v>
      </c>
      <c r="E940" s="20" t="s">
        <v>288</v>
      </c>
      <c r="F940" s="6">
        <f>F941</f>
        <v>0</v>
      </c>
      <c r="G940" s="6">
        <f>'Пр.3 Рд,пр, ЦС,ВР 20'!G1043</f>
        <v>252</v>
      </c>
    </row>
    <row r="941" spans="1:7" ht="15.75" hidden="1" x14ac:dyDescent="0.25">
      <c r="A941" s="25" t="s">
        <v>289</v>
      </c>
      <c r="B941" s="20" t="s">
        <v>506</v>
      </c>
      <c r="C941" s="20" t="s">
        <v>133</v>
      </c>
      <c r="D941" s="20" t="s">
        <v>1077</v>
      </c>
      <c r="E941" s="20" t="s">
        <v>290</v>
      </c>
      <c r="F941" s="6">
        <v>0</v>
      </c>
      <c r="G941" s="6">
        <f>'Пр.3 Рд,пр, ЦС,ВР 20'!G1044</f>
        <v>252</v>
      </c>
    </row>
    <row r="942" spans="1:7" ht="31.5" hidden="1" x14ac:dyDescent="0.25">
      <c r="A942" s="25" t="s">
        <v>295</v>
      </c>
      <c r="B942" s="20" t="s">
        <v>506</v>
      </c>
      <c r="C942" s="20" t="s">
        <v>133</v>
      </c>
      <c r="D942" s="20" t="s">
        <v>1078</v>
      </c>
      <c r="E942" s="20"/>
      <c r="F942" s="6">
        <f>'Пр.3 Рд,пр, ЦС,ВР 20'!F1045</f>
        <v>0</v>
      </c>
      <c r="G942" s="6">
        <f>'Пр.3 Рд,пр, ЦС,ВР 20'!G1045</f>
        <v>0</v>
      </c>
    </row>
    <row r="943" spans="1:7" ht="47.25" hidden="1" x14ac:dyDescent="0.25">
      <c r="A943" s="25" t="s">
        <v>287</v>
      </c>
      <c r="B943" s="20" t="s">
        <v>506</v>
      </c>
      <c r="C943" s="20" t="s">
        <v>133</v>
      </c>
      <c r="D943" s="20" t="s">
        <v>1078</v>
      </c>
      <c r="E943" s="20" t="s">
        <v>288</v>
      </c>
      <c r="F943" s="6">
        <f>'Пр.3 Рд,пр, ЦС,ВР 20'!F1046</f>
        <v>0</v>
      </c>
      <c r="G943" s="6">
        <f>'Пр.3 Рд,пр, ЦС,ВР 20'!G1046</f>
        <v>0</v>
      </c>
    </row>
    <row r="944" spans="1:7" ht="15.75" hidden="1" x14ac:dyDescent="0.25">
      <c r="A944" s="25" t="s">
        <v>289</v>
      </c>
      <c r="B944" s="20" t="s">
        <v>506</v>
      </c>
      <c r="C944" s="20" t="s">
        <v>133</v>
      </c>
      <c r="D944" s="20" t="s">
        <v>1078</v>
      </c>
      <c r="E944" s="20" t="s">
        <v>290</v>
      </c>
      <c r="F944" s="6">
        <f>'Пр.3 Рд,пр, ЦС,ВР 20'!F1047</f>
        <v>0</v>
      </c>
      <c r="G944" s="6">
        <f>'Пр.3 Рд,пр, ЦС,ВР 20'!G1047</f>
        <v>0</v>
      </c>
    </row>
    <row r="945" spans="1:7" ht="15.75" x14ac:dyDescent="0.25">
      <c r="A945" s="25" t="s">
        <v>874</v>
      </c>
      <c r="B945" s="20" t="s">
        <v>506</v>
      </c>
      <c r="C945" s="20" t="s">
        <v>133</v>
      </c>
      <c r="D945" s="20" t="s">
        <v>1079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287</v>
      </c>
      <c r="B946" s="20" t="s">
        <v>506</v>
      </c>
      <c r="C946" s="20" t="s">
        <v>133</v>
      </c>
      <c r="D946" s="20" t="s">
        <v>1079</v>
      </c>
      <c r="E946" s="20" t="s">
        <v>288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289</v>
      </c>
      <c r="B947" s="20" t="s">
        <v>506</v>
      </c>
      <c r="C947" s="20" t="s">
        <v>133</v>
      </c>
      <c r="D947" s="20" t="s">
        <v>1079</v>
      </c>
      <c r="E947" s="20" t="s">
        <v>290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1074</v>
      </c>
      <c r="B948" s="24" t="s">
        <v>506</v>
      </c>
      <c r="C948" s="24" t="s">
        <v>133</v>
      </c>
      <c r="D948" s="24" t="s">
        <v>1076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815</v>
      </c>
      <c r="B949" s="20" t="s">
        <v>506</v>
      </c>
      <c r="C949" s="20" t="s">
        <v>133</v>
      </c>
      <c r="D949" s="20" t="s">
        <v>1080</v>
      </c>
      <c r="E949" s="20"/>
      <c r="F949" s="6">
        <f>'Пр.3 Рд,пр, ЦС,ВР 20'!F1052</f>
        <v>0</v>
      </c>
      <c r="G949" s="6">
        <f>'Пр.3 Рд,пр, ЦС,ВР 20'!G1052</f>
        <v>0</v>
      </c>
    </row>
    <row r="950" spans="1:7" ht="47.25" hidden="1" x14ac:dyDescent="0.25">
      <c r="A950" s="25" t="s">
        <v>287</v>
      </c>
      <c r="B950" s="20" t="s">
        <v>506</v>
      </c>
      <c r="C950" s="20" t="s">
        <v>133</v>
      </c>
      <c r="D950" s="20" t="s">
        <v>1080</v>
      </c>
      <c r="E950" s="20" t="s">
        <v>288</v>
      </c>
      <c r="F950" s="6">
        <f>'Пр.3 Рд,пр, ЦС,ВР 20'!F1053</f>
        <v>0</v>
      </c>
      <c r="G950" s="6">
        <f>'Пр.3 Рд,пр, ЦС,ВР 20'!G1053</f>
        <v>0</v>
      </c>
    </row>
    <row r="951" spans="1:7" ht="15.75" hidden="1" x14ac:dyDescent="0.25">
      <c r="A951" s="25" t="s">
        <v>289</v>
      </c>
      <c r="B951" s="20" t="s">
        <v>506</v>
      </c>
      <c r="C951" s="20" t="s">
        <v>133</v>
      </c>
      <c r="D951" s="20" t="s">
        <v>1080</v>
      </c>
      <c r="E951" s="20" t="s">
        <v>290</v>
      </c>
      <c r="F951" s="6">
        <f>'Пр.3 Рд,пр, ЦС,ВР 20'!F1054</f>
        <v>0</v>
      </c>
      <c r="G951" s="6">
        <f>'Пр.3 Рд,пр, ЦС,ВР 20'!G1054</f>
        <v>0</v>
      </c>
    </row>
    <row r="952" spans="1:7" ht="47.25" x14ac:dyDescent="0.25">
      <c r="A952" s="45" t="s">
        <v>785</v>
      </c>
      <c r="B952" s="20" t="s">
        <v>506</v>
      </c>
      <c r="C952" s="20" t="s">
        <v>133</v>
      </c>
      <c r="D952" s="20" t="s">
        <v>1081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287</v>
      </c>
      <c r="B953" s="20" t="s">
        <v>506</v>
      </c>
      <c r="C953" s="20" t="s">
        <v>133</v>
      </c>
      <c r="D953" s="20" t="s">
        <v>1081</v>
      </c>
      <c r="E953" s="20" t="s">
        <v>288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289</v>
      </c>
      <c r="B954" s="20" t="s">
        <v>506</v>
      </c>
      <c r="C954" s="20" t="s">
        <v>133</v>
      </c>
      <c r="D954" s="20" t="s">
        <v>1081</v>
      </c>
      <c r="E954" s="20" t="s">
        <v>290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969</v>
      </c>
      <c r="B955" s="24" t="s">
        <v>506</v>
      </c>
      <c r="C955" s="24" t="s">
        <v>133</v>
      </c>
      <c r="D955" s="24" t="s">
        <v>1082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308</v>
      </c>
      <c r="B956" s="20" t="s">
        <v>506</v>
      </c>
      <c r="C956" s="20" t="s">
        <v>133</v>
      </c>
      <c r="D956" s="20" t="s">
        <v>1509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287</v>
      </c>
      <c r="B957" s="20" t="s">
        <v>506</v>
      </c>
      <c r="C957" s="20" t="s">
        <v>133</v>
      </c>
      <c r="D957" s="316" t="s">
        <v>1509</v>
      </c>
      <c r="E957" s="20" t="s">
        <v>288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289</v>
      </c>
      <c r="B958" s="20" t="s">
        <v>506</v>
      </c>
      <c r="C958" s="20" t="s">
        <v>133</v>
      </c>
      <c r="D958" s="316" t="s">
        <v>1509</v>
      </c>
      <c r="E958" s="20" t="s">
        <v>290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1417</v>
      </c>
      <c r="B959" s="24" t="s">
        <v>506</v>
      </c>
      <c r="C959" s="24" t="s">
        <v>133</v>
      </c>
      <c r="D959" s="24" t="s">
        <v>726</v>
      </c>
      <c r="E959" s="228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947</v>
      </c>
      <c r="B960" s="24" t="s">
        <v>506</v>
      </c>
      <c r="C960" s="24" t="s">
        <v>133</v>
      </c>
      <c r="D960" s="24" t="s">
        <v>945</v>
      </c>
      <c r="E960" s="228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801</v>
      </c>
      <c r="B961" s="20" t="s">
        <v>506</v>
      </c>
      <c r="C961" s="20" t="s">
        <v>133</v>
      </c>
      <c r="D961" s="20" t="s">
        <v>1025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287</v>
      </c>
      <c r="B962" s="20" t="s">
        <v>506</v>
      </c>
      <c r="C962" s="20" t="s">
        <v>133</v>
      </c>
      <c r="D962" s="20" t="s">
        <v>1025</v>
      </c>
      <c r="E962" s="32" t="s">
        <v>288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3" t="s">
        <v>289</v>
      </c>
      <c r="B963" s="20" t="s">
        <v>506</v>
      </c>
      <c r="C963" s="20" t="s">
        <v>133</v>
      </c>
      <c r="D963" s="20" t="s">
        <v>1025</v>
      </c>
      <c r="E963" s="32" t="s">
        <v>290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515</v>
      </c>
      <c r="B964" s="24" t="s">
        <v>506</v>
      </c>
      <c r="C964" s="24" t="s">
        <v>249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988</v>
      </c>
      <c r="B965" s="24" t="s">
        <v>506</v>
      </c>
      <c r="C965" s="24" t="s">
        <v>249</v>
      </c>
      <c r="D965" s="24" t="s">
        <v>902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989</v>
      </c>
      <c r="B966" s="24" t="s">
        <v>506</v>
      </c>
      <c r="C966" s="24" t="s">
        <v>249</v>
      </c>
      <c r="D966" s="24" t="s">
        <v>903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965</v>
      </c>
      <c r="B967" s="20" t="s">
        <v>506</v>
      </c>
      <c r="C967" s="20" t="s">
        <v>249</v>
      </c>
      <c r="D967" s="20" t="s">
        <v>904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142</v>
      </c>
      <c r="B968" s="20" t="s">
        <v>506</v>
      </c>
      <c r="C968" s="20" t="s">
        <v>249</v>
      </c>
      <c r="D968" s="20" t="s">
        <v>904</v>
      </c>
      <c r="E968" s="20" t="s">
        <v>143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144</v>
      </c>
      <c r="B969" s="20" t="s">
        <v>506</v>
      </c>
      <c r="C969" s="20" t="s">
        <v>249</v>
      </c>
      <c r="D969" s="20" t="s">
        <v>904</v>
      </c>
      <c r="E969" s="20" t="s">
        <v>145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883</v>
      </c>
      <c r="B970" s="20" t="s">
        <v>506</v>
      </c>
      <c r="C970" s="20" t="s">
        <v>249</v>
      </c>
      <c r="D970" s="20" t="s">
        <v>906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142</v>
      </c>
      <c r="B971" s="20" t="s">
        <v>506</v>
      </c>
      <c r="C971" s="20" t="s">
        <v>249</v>
      </c>
      <c r="D971" s="20" t="s">
        <v>906</v>
      </c>
      <c r="E971" s="20" t="s">
        <v>143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144</v>
      </c>
      <c r="B972" s="20" t="s">
        <v>506</v>
      </c>
      <c r="C972" s="20" t="s">
        <v>249</v>
      </c>
      <c r="D972" s="20" t="s">
        <v>906</v>
      </c>
      <c r="E972" s="20" t="s">
        <v>145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156</v>
      </c>
      <c r="B973" s="24" t="s">
        <v>506</v>
      </c>
      <c r="C973" s="24" t="s">
        <v>249</v>
      </c>
      <c r="D973" s="24" t="s">
        <v>910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1000</v>
      </c>
      <c r="B974" s="24" t="s">
        <v>506</v>
      </c>
      <c r="C974" s="24" t="s">
        <v>249</v>
      </c>
      <c r="D974" s="24" t="s">
        <v>985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972</v>
      </c>
      <c r="B975" s="20" t="s">
        <v>506</v>
      </c>
      <c r="C975" s="20" t="s">
        <v>249</v>
      </c>
      <c r="D975" s="20" t="s">
        <v>986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142</v>
      </c>
      <c r="B976" s="20" t="s">
        <v>506</v>
      </c>
      <c r="C976" s="20" t="s">
        <v>249</v>
      </c>
      <c r="D976" s="20" t="s">
        <v>986</v>
      </c>
      <c r="E976" s="20" t="s">
        <v>143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357</v>
      </c>
      <c r="B977" s="20" t="s">
        <v>506</v>
      </c>
      <c r="C977" s="20" t="s">
        <v>249</v>
      </c>
      <c r="D977" s="20" t="s">
        <v>986</v>
      </c>
      <c r="E977" s="20" t="s">
        <v>224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146</v>
      </c>
      <c r="B978" s="20" t="s">
        <v>506</v>
      </c>
      <c r="C978" s="20" t="s">
        <v>249</v>
      </c>
      <c r="D978" s="20" t="s">
        <v>986</v>
      </c>
      <c r="E978" s="20" t="s">
        <v>147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148</v>
      </c>
      <c r="B979" s="20" t="s">
        <v>506</v>
      </c>
      <c r="C979" s="20" t="s">
        <v>249</v>
      </c>
      <c r="D979" s="20" t="s">
        <v>986</v>
      </c>
      <c r="E979" s="20" t="s">
        <v>149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150</v>
      </c>
      <c r="B980" s="20" t="s">
        <v>506</v>
      </c>
      <c r="C980" s="20" t="s">
        <v>249</v>
      </c>
      <c r="D980" s="20" t="s">
        <v>986</v>
      </c>
      <c r="E980" s="20" t="s">
        <v>160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583</v>
      </c>
      <c r="B981" s="20" t="s">
        <v>506</v>
      </c>
      <c r="C981" s="20" t="s">
        <v>249</v>
      </c>
      <c r="D981" s="20" t="s">
        <v>986</v>
      </c>
      <c r="E981" s="20" t="s">
        <v>153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883</v>
      </c>
      <c r="B982" s="20" t="s">
        <v>506</v>
      </c>
      <c r="C982" s="20" t="s">
        <v>249</v>
      </c>
      <c r="D982" s="20" t="s">
        <v>987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142</v>
      </c>
      <c r="B983" s="20" t="s">
        <v>506</v>
      </c>
      <c r="C983" s="20" t="s">
        <v>249</v>
      </c>
      <c r="D983" s="20" t="s">
        <v>987</v>
      </c>
      <c r="E983" s="20" t="s">
        <v>143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144</v>
      </c>
      <c r="B984" s="20" t="s">
        <v>506</v>
      </c>
      <c r="C984" s="20" t="s">
        <v>249</v>
      </c>
      <c r="D984" s="20" t="s">
        <v>987</v>
      </c>
      <c r="E984" s="20" t="s">
        <v>145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1425</v>
      </c>
      <c r="B985" s="24" t="s">
        <v>506</v>
      </c>
      <c r="C985" s="24" t="s">
        <v>249</v>
      </c>
      <c r="D985" s="7" t="s">
        <v>497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1441</v>
      </c>
      <c r="B986" s="24" t="s">
        <v>506</v>
      </c>
      <c r="C986" s="24" t="s">
        <v>249</v>
      </c>
      <c r="D986" s="7" t="s">
        <v>517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1084</v>
      </c>
      <c r="B987" s="24" t="s">
        <v>506</v>
      </c>
      <c r="C987" s="24" t="s">
        <v>249</v>
      </c>
      <c r="D987" s="7" t="s">
        <v>1085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1086</v>
      </c>
      <c r="B988" s="20" t="s">
        <v>506</v>
      </c>
      <c r="C988" s="20" t="s">
        <v>249</v>
      </c>
      <c r="D988" s="40" t="s">
        <v>1234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142</v>
      </c>
      <c r="B989" s="20" t="s">
        <v>506</v>
      </c>
      <c r="C989" s="20" t="s">
        <v>249</v>
      </c>
      <c r="D989" s="40" t="s">
        <v>1234</v>
      </c>
      <c r="E989" s="20" t="s">
        <v>143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357</v>
      </c>
      <c r="B990" s="20" t="s">
        <v>506</v>
      </c>
      <c r="C990" s="20" t="s">
        <v>249</v>
      </c>
      <c r="D990" s="40" t="s">
        <v>1234</v>
      </c>
      <c r="E990" s="20" t="s">
        <v>224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146</v>
      </c>
      <c r="B991" s="20" t="s">
        <v>506</v>
      </c>
      <c r="C991" s="20" t="s">
        <v>249</v>
      </c>
      <c r="D991" s="40" t="s">
        <v>1234</v>
      </c>
      <c r="E991" s="20" t="s">
        <v>147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148</v>
      </c>
      <c r="B992" s="20" t="s">
        <v>506</v>
      </c>
      <c r="C992" s="20" t="s">
        <v>249</v>
      </c>
      <c r="D992" s="40" t="s">
        <v>1234</v>
      </c>
      <c r="E992" s="20" t="s">
        <v>149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597</v>
      </c>
      <c r="B993" s="7" t="s">
        <v>253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598</v>
      </c>
      <c r="B994" s="7" t="s">
        <v>253</v>
      </c>
      <c r="C994" s="7" t="s">
        <v>228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156</v>
      </c>
      <c r="B995" s="24" t="s">
        <v>253</v>
      </c>
      <c r="C995" s="24" t="s">
        <v>228</v>
      </c>
      <c r="D995" s="24" t="s">
        <v>910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1088</v>
      </c>
      <c r="B996" s="24" t="s">
        <v>253</v>
      </c>
      <c r="C996" s="24" t="s">
        <v>228</v>
      </c>
      <c r="D996" s="24" t="s">
        <v>1087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832</v>
      </c>
      <c r="B997" s="20" t="s">
        <v>253</v>
      </c>
      <c r="C997" s="20" t="s">
        <v>228</v>
      </c>
      <c r="D997" s="20" t="s">
        <v>1089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142</v>
      </c>
      <c r="B998" s="20" t="s">
        <v>253</v>
      </c>
      <c r="C998" s="20" t="s">
        <v>228</v>
      </c>
      <c r="D998" s="20" t="s">
        <v>1089</v>
      </c>
      <c r="E998" s="20" t="s">
        <v>143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223</v>
      </c>
      <c r="B999" s="20" t="s">
        <v>253</v>
      </c>
      <c r="C999" s="20" t="s">
        <v>228</v>
      </c>
      <c r="D999" s="20" t="s">
        <v>1089</v>
      </c>
      <c r="E999" s="20" t="s">
        <v>224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146</v>
      </c>
      <c r="B1000" s="20" t="s">
        <v>253</v>
      </c>
      <c r="C1000" s="20" t="s">
        <v>228</v>
      </c>
      <c r="D1000" s="20" t="s">
        <v>1089</v>
      </c>
      <c r="E1000" s="20" t="s">
        <v>147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148</v>
      </c>
      <c r="B1001" s="20" t="s">
        <v>253</v>
      </c>
      <c r="C1001" s="20" t="s">
        <v>228</v>
      </c>
      <c r="D1001" s="20" t="s">
        <v>1089</v>
      </c>
      <c r="E1001" s="20" t="s">
        <v>149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150</v>
      </c>
      <c r="B1002" s="20" t="s">
        <v>253</v>
      </c>
      <c r="C1002" s="20" t="s">
        <v>228</v>
      </c>
      <c r="D1002" s="20" t="s">
        <v>1089</v>
      </c>
      <c r="E1002" s="20" t="s">
        <v>160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583</v>
      </c>
      <c r="B1003" s="20" t="s">
        <v>253</v>
      </c>
      <c r="C1003" s="20" t="s">
        <v>228</v>
      </c>
      <c r="D1003" s="20" t="s">
        <v>1089</v>
      </c>
      <c r="E1003" s="20" t="s">
        <v>153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883</v>
      </c>
      <c r="B1004" s="20" t="s">
        <v>253</v>
      </c>
      <c r="C1004" s="20" t="s">
        <v>228</v>
      </c>
      <c r="D1004" s="20" t="s">
        <v>1090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142</v>
      </c>
      <c r="B1005" s="20" t="s">
        <v>253</v>
      </c>
      <c r="C1005" s="20" t="s">
        <v>228</v>
      </c>
      <c r="D1005" s="20" t="s">
        <v>1090</v>
      </c>
      <c r="E1005" s="20" t="s">
        <v>143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144</v>
      </c>
      <c r="B1006" s="20" t="s">
        <v>253</v>
      </c>
      <c r="C1006" s="20" t="s">
        <v>228</v>
      </c>
      <c r="D1006" s="20" t="s">
        <v>1090</v>
      </c>
      <c r="E1006" s="20" t="s">
        <v>224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1417</v>
      </c>
      <c r="B1007" s="24" t="s">
        <v>253</v>
      </c>
      <c r="C1007" s="24" t="s">
        <v>228</v>
      </c>
      <c r="D1007" s="24" t="s">
        <v>726</v>
      </c>
      <c r="E1007" s="228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947</v>
      </c>
      <c r="B1008" s="24" t="s">
        <v>253</v>
      </c>
      <c r="C1008" s="24" t="s">
        <v>228</v>
      </c>
      <c r="D1008" s="24" t="s">
        <v>945</v>
      </c>
      <c r="E1008" s="228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1155</v>
      </c>
      <c r="B1009" s="20" t="s">
        <v>253</v>
      </c>
      <c r="C1009" s="20" t="s">
        <v>228</v>
      </c>
      <c r="D1009" s="20" t="s">
        <v>946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146</v>
      </c>
      <c r="B1010" s="20" t="s">
        <v>253</v>
      </c>
      <c r="C1010" s="20" t="s">
        <v>228</v>
      </c>
      <c r="D1010" s="20" t="s">
        <v>946</v>
      </c>
      <c r="E1010" s="32" t="s">
        <v>147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148</v>
      </c>
      <c r="B1011" s="20" t="s">
        <v>253</v>
      </c>
      <c r="C1011" s="20" t="s">
        <v>228</v>
      </c>
      <c r="D1011" s="20" t="s">
        <v>946</v>
      </c>
      <c r="E1011" s="32" t="s">
        <v>149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602</v>
      </c>
      <c r="B1012" s="7"/>
      <c r="C1012" s="7"/>
      <c r="D1012" s="7"/>
      <c r="E1012" s="7"/>
      <c r="F1012" s="297">
        <f>F8+F222+F241+F316+F479+F765+F924+F993+F868</f>
        <v>753520.63199999998</v>
      </c>
      <c r="G1012" s="297">
        <f>G8+G222+G241+G316+G479+G765+G924+G993+G868</f>
        <v>737439.13399999996</v>
      </c>
    </row>
    <row r="1013" spans="1:7" ht="15.75" hidden="1" x14ac:dyDescent="0.25">
      <c r="A1013" s="210"/>
      <c r="B1013" s="210"/>
      <c r="C1013" s="210"/>
      <c r="D1013" s="210"/>
      <c r="E1013" s="210"/>
      <c r="F1013" s="4">
        <f>'пр.5.1.ведом.21-22'!G1105</f>
        <v>753520.63179999997</v>
      </c>
      <c r="G1013" s="4">
        <f>'пр.5.1.ведом.21-22'!H1105</f>
        <v>735832.81979999994</v>
      </c>
    </row>
    <row r="1014" spans="1:7" ht="15.75" hidden="1" x14ac:dyDescent="0.25">
      <c r="A1014" s="210"/>
      <c r="B1014" s="210"/>
      <c r="C1014" s="210"/>
      <c r="D1014" s="210"/>
      <c r="E1014" s="210"/>
      <c r="F1014" s="4">
        <f>'Пр.3 Рд,пр, ЦС,ВР 20'!F1141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753520.63179999997</v>
      </c>
      <c r="G1016" s="22">
        <f>'пр.5.1.ведом.21-22'!H1105</f>
        <v>735832.81979999994</v>
      </c>
    </row>
    <row r="1017" spans="1:7" hidden="1" x14ac:dyDescent="0.25"/>
    <row r="1018" spans="1:7" hidden="1" x14ac:dyDescent="0.25">
      <c r="F1018" s="22">
        <f>F1016-F1012</f>
        <v>-2.0000000949949026E-4</v>
      </c>
      <c r="G1018" s="22">
        <f>G1016-G1012</f>
        <v>-1606.3142000000225</v>
      </c>
    </row>
    <row r="1019" spans="1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758</v>
      </c>
      <c r="G3" s="63"/>
      <c r="H3" s="177"/>
    </row>
    <row r="4" spans="1:9" ht="15.75" x14ac:dyDescent="0.25">
      <c r="A4" s="438"/>
      <c r="B4" s="438"/>
      <c r="C4" s="438"/>
      <c r="D4" s="438"/>
      <c r="E4" s="438"/>
      <c r="F4" s="438"/>
      <c r="G4" s="438"/>
      <c r="H4" s="177"/>
    </row>
    <row r="5" spans="1:9" ht="15.75" x14ac:dyDescent="0.25">
      <c r="A5" s="436" t="s">
        <v>124</v>
      </c>
      <c r="B5" s="436"/>
      <c r="C5" s="436"/>
      <c r="D5" s="436"/>
      <c r="E5" s="436"/>
      <c r="F5" s="436"/>
      <c r="G5" s="436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7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736</v>
      </c>
      <c r="J34" s="172" t="s">
        <v>778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737</v>
      </c>
      <c r="I45" s="124"/>
      <c r="J45" s="171" t="s">
        <v>779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738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697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697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697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728</v>
      </c>
      <c r="B90" s="16">
        <v>902</v>
      </c>
      <c r="C90" s="20" t="s">
        <v>133</v>
      </c>
      <c r="D90" s="20" t="s">
        <v>155</v>
      </c>
      <c r="E90" s="20" t="s">
        <v>726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734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734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734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740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741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739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748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756</v>
      </c>
      <c r="B232" s="16">
        <v>903</v>
      </c>
      <c r="C232" s="20" t="s">
        <v>133</v>
      </c>
      <c r="D232" s="20" t="s">
        <v>155</v>
      </c>
      <c r="E232" s="20" t="s">
        <v>755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755</v>
      </c>
      <c r="F233" s="20" t="s">
        <v>147</v>
      </c>
      <c r="G233" s="26">
        <f t="shared" si="1"/>
        <v>88.7</v>
      </c>
      <c r="H233" s="177"/>
    </row>
    <row r="234" spans="1:8" ht="53.4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755</v>
      </c>
      <c r="F234" s="20" t="s">
        <v>149</v>
      </c>
      <c r="G234" s="162">
        <v>88.7</v>
      </c>
      <c r="H234" s="157" t="s">
        <v>750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722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698</v>
      </c>
      <c r="B315" s="16">
        <v>903</v>
      </c>
      <c r="C315" s="20" t="s">
        <v>314</v>
      </c>
      <c r="D315" s="20" t="s">
        <v>133</v>
      </c>
      <c r="E315" s="20" t="s">
        <v>699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699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699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700</v>
      </c>
      <c r="B355" s="16">
        <v>903</v>
      </c>
      <c r="C355" s="20" t="s">
        <v>314</v>
      </c>
      <c r="D355" s="20" t="s">
        <v>133</v>
      </c>
      <c r="E355" s="20" t="s">
        <v>701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701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701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729</v>
      </c>
      <c r="B366" s="16">
        <v>903</v>
      </c>
      <c r="C366" s="20" t="s">
        <v>314</v>
      </c>
      <c r="D366" s="20" t="s">
        <v>165</v>
      </c>
      <c r="E366" s="20" t="s">
        <v>695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695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695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728</v>
      </c>
      <c r="B369" s="16">
        <v>903</v>
      </c>
      <c r="C369" s="20" t="s">
        <v>314</v>
      </c>
      <c r="D369" s="20" t="s">
        <v>165</v>
      </c>
      <c r="E369" s="20" t="s">
        <v>726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734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734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734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439"/>
      <c r="K381" s="439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439"/>
      <c r="K382" s="439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439"/>
      <c r="K383" s="439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439"/>
      <c r="K384" s="439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439"/>
      <c r="K385" s="439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439"/>
      <c r="K386" s="439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439"/>
      <c r="K387" s="439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769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757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747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742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743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760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762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719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720</v>
      </c>
      <c r="B619" s="16">
        <v>906</v>
      </c>
      <c r="C619" s="20" t="s">
        <v>279</v>
      </c>
      <c r="D619" s="20" t="s">
        <v>230</v>
      </c>
      <c r="E619" s="20" t="s">
        <v>721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721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721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745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744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761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439"/>
      <c r="K666" s="439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439"/>
      <c r="K667" s="439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439"/>
      <c r="K668" s="439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439"/>
      <c r="K669" s="439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439"/>
      <c r="K670" s="439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439"/>
      <c r="K671" s="439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439"/>
      <c r="K672" s="439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754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752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751</v>
      </c>
      <c r="B722" s="16">
        <v>907</v>
      </c>
      <c r="C722" s="20" t="s">
        <v>506</v>
      </c>
      <c r="D722" s="20" t="s">
        <v>133</v>
      </c>
      <c r="E722" s="20" t="s">
        <v>749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749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749</v>
      </c>
      <c r="F724" s="20" t="s">
        <v>290</v>
      </c>
      <c r="G724" s="158">
        <v>500</v>
      </c>
      <c r="H724" s="157" t="s">
        <v>753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439"/>
      <c r="K741" s="439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439"/>
      <c r="K742" s="439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439"/>
      <c r="K743" s="439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439"/>
      <c r="K744" s="439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439"/>
      <c r="K745" s="439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439"/>
      <c r="K746" s="439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439"/>
      <c r="K747" s="439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763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764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725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783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784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609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765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771</v>
      </c>
      <c r="J813" s="169" t="s">
        <v>772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766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773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774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696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702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703</v>
      </c>
      <c r="B834" s="16">
        <v>908</v>
      </c>
      <c r="C834" s="20" t="s">
        <v>249</v>
      </c>
      <c r="D834" s="20" t="s">
        <v>228</v>
      </c>
      <c r="E834" s="20" t="s">
        <v>704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704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704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770</v>
      </c>
      <c r="I840" s="115"/>
      <c r="J840" s="171" t="s">
        <v>739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730</v>
      </c>
      <c r="B874" s="16">
        <v>908</v>
      </c>
      <c r="C874" s="20" t="s">
        <v>249</v>
      </c>
      <c r="D874" s="20" t="s">
        <v>230</v>
      </c>
      <c r="E874" s="20" t="s">
        <v>732</v>
      </c>
      <c r="F874" s="20"/>
      <c r="G874" s="26">
        <f>G875</f>
        <v>600</v>
      </c>
      <c r="H874" s="177"/>
    </row>
    <row r="875" spans="1:8" ht="31.5" x14ac:dyDescent="0.25">
      <c r="A875" s="80" t="s">
        <v>731</v>
      </c>
      <c r="B875" s="16">
        <v>908</v>
      </c>
      <c r="C875" s="20" t="s">
        <v>249</v>
      </c>
      <c r="D875" s="20" t="s">
        <v>230</v>
      </c>
      <c r="E875" s="20" t="s">
        <v>733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733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733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705</v>
      </c>
      <c r="B883" s="16">
        <v>908</v>
      </c>
      <c r="C883" s="20" t="s">
        <v>249</v>
      </c>
      <c r="D883" s="20" t="s">
        <v>230</v>
      </c>
      <c r="E883" s="20" t="s">
        <v>706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706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706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707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708</v>
      </c>
      <c r="B889" s="16">
        <v>908</v>
      </c>
      <c r="C889" s="20" t="s">
        <v>249</v>
      </c>
      <c r="D889" s="20" t="s">
        <v>230</v>
      </c>
      <c r="E889" s="20" t="s">
        <v>709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709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709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768</v>
      </c>
      <c r="I904" s="124"/>
      <c r="J904" s="171" t="s">
        <v>775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767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781</v>
      </c>
      <c r="I915" s="124"/>
      <c r="J915" s="170" t="s">
        <v>780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782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776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777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710</v>
      </c>
      <c r="B955" s="16">
        <v>910</v>
      </c>
      <c r="C955" s="20" t="s">
        <v>133</v>
      </c>
      <c r="D955" s="20" t="s">
        <v>155</v>
      </c>
      <c r="E955" s="40" t="s">
        <v>711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711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711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710</v>
      </c>
      <c r="B960" s="16">
        <v>910</v>
      </c>
      <c r="C960" s="20" t="s">
        <v>133</v>
      </c>
      <c r="D960" s="20" t="s">
        <v>155</v>
      </c>
      <c r="E960" s="20" t="s">
        <v>712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712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712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'пр.2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'пр.2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'пр.2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'пр.2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'пр.2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'пр.2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'пр.2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'пр.2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'пр.2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'пр.2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631</v>
      </c>
    </row>
    <row r="2" spans="1:8" ht="15.75" x14ac:dyDescent="0.25">
      <c r="D2" s="1"/>
      <c r="F2" s="57" t="s">
        <v>606</v>
      </c>
    </row>
    <row r="3" spans="1:8" ht="15.75" x14ac:dyDescent="0.25">
      <c r="D3" s="1"/>
      <c r="F3" s="57" t="s">
        <v>759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40" t="s">
        <v>735</v>
      </c>
      <c r="B5" s="440"/>
      <c r="C5" s="440"/>
      <c r="D5" s="440"/>
      <c r="E5" s="440"/>
      <c r="F5" s="440"/>
      <c r="G5" s="440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637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'Пр.4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'Пр.4 ведом.20'!#REF!</f>
        <v>#REF!</v>
      </c>
      <c r="H17" s="113"/>
    </row>
    <row r="18" spans="1:8" ht="47.25" x14ac:dyDescent="0.25">
      <c r="A18" s="45" t="s">
        <v>638</v>
      </c>
      <c r="B18" s="40" t="s">
        <v>525</v>
      </c>
      <c r="C18" s="40" t="s">
        <v>165</v>
      </c>
      <c r="D18" s="40" t="s">
        <v>234</v>
      </c>
      <c r="E18" s="40"/>
      <c r="F18" s="40" t="s">
        <v>639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640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641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641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641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641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641</v>
      </c>
      <c r="C27" s="40" t="s">
        <v>259</v>
      </c>
      <c r="D27" s="40" t="s">
        <v>230</v>
      </c>
      <c r="E27" s="40" t="s">
        <v>149</v>
      </c>
      <c r="F27" s="40"/>
      <c r="G27" s="6" t="e">
        <f>'Пр.4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'Пр.4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642</v>
      </c>
      <c r="G31" s="6" t="e">
        <f>G20</f>
        <v>#REF!</v>
      </c>
    </row>
    <row r="32" spans="1:8" ht="47.25" x14ac:dyDescent="0.25">
      <c r="A32" s="58" t="s">
        <v>643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629</v>
      </c>
      <c r="B35" s="20" t="s">
        <v>630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630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630</v>
      </c>
      <c r="C37" s="40" t="s">
        <v>259</v>
      </c>
      <c r="D37" s="40" t="s">
        <v>230</v>
      </c>
      <c r="E37" s="40" t="s">
        <v>266</v>
      </c>
      <c r="F37" s="40"/>
      <c r="G37" s="10" t="e">
        <f>'Пр.4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642</v>
      </c>
      <c r="G38" s="10" t="e">
        <f>G32</f>
        <v>#REF!</v>
      </c>
    </row>
    <row r="39" spans="1:7" ht="47.25" x14ac:dyDescent="0.25">
      <c r="A39" s="58" t="s">
        <v>644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645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645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645</v>
      </c>
      <c r="C44" s="40" t="s">
        <v>259</v>
      </c>
      <c r="D44" s="40" t="s">
        <v>230</v>
      </c>
      <c r="E44" s="40" t="s">
        <v>364</v>
      </c>
      <c r="F44" s="40"/>
      <c r="G44" s="10" t="e">
        <f>'Пр.4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642</v>
      </c>
      <c r="G45" s="10" t="e">
        <f>G39</f>
        <v>#REF!</v>
      </c>
    </row>
    <row r="46" spans="1:7" ht="31.5" x14ac:dyDescent="0.25">
      <c r="A46" s="58" t="s">
        <v>646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647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647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647</v>
      </c>
      <c r="C51" s="40" t="s">
        <v>259</v>
      </c>
      <c r="D51" s="40" t="s">
        <v>230</v>
      </c>
      <c r="E51" s="40" t="s">
        <v>149</v>
      </c>
      <c r="F51" s="40"/>
      <c r="G51" s="10" t="e">
        <f>'Пр.4 ведом.20'!#REF!</f>
        <v>#REF!</v>
      </c>
    </row>
    <row r="52" spans="1:7" ht="31.5" x14ac:dyDescent="0.25">
      <c r="A52" s="29" t="s">
        <v>263</v>
      </c>
      <c r="B52" s="40" t="s">
        <v>647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647</v>
      </c>
      <c r="C53" s="40" t="s">
        <v>259</v>
      </c>
      <c r="D53" s="40" t="s">
        <v>230</v>
      </c>
      <c r="E53" s="40" t="s">
        <v>364</v>
      </c>
      <c r="F53" s="40"/>
      <c r="G53" s="10" t="e">
        <f>'Пр.4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642</v>
      </c>
      <c r="G54" s="10" t="e">
        <f>G46</f>
        <v>#REF!</v>
      </c>
    </row>
    <row r="55" spans="1:7" ht="47.25" x14ac:dyDescent="0.25">
      <c r="A55" s="58" t="s">
        <v>648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649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649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649</v>
      </c>
      <c r="C60" s="40" t="s">
        <v>259</v>
      </c>
      <c r="D60" s="40" t="s">
        <v>230</v>
      </c>
      <c r="E60" s="40" t="s">
        <v>364</v>
      </c>
      <c r="F60" s="40"/>
      <c r="G60" s="10" t="e">
        <f>'Пр.4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642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650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650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650</v>
      </c>
      <c r="C67" s="40" t="s">
        <v>259</v>
      </c>
      <c r="D67" s="40" t="s">
        <v>230</v>
      </c>
      <c r="E67" s="40" t="s">
        <v>149</v>
      </c>
      <c r="F67" s="40"/>
      <c r="G67" s="10" t="e">
        <f>'Пр.4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642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'Пр.4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'Пр.4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642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642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642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642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'Пр.4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642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'Пр.4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'Пр.4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'Пр.4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651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610</v>
      </c>
      <c r="B121" s="40" t="s">
        <v>611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611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611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611</v>
      </c>
      <c r="C124" s="40" t="s">
        <v>279</v>
      </c>
      <c r="D124" s="40" t="s">
        <v>133</v>
      </c>
      <c r="E124" s="40"/>
      <c r="F124" s="40" t="s">
        <v>651</v>
      </c>
      <c r="G124" s="10">
        <v>0</v>
      </c>
    </row>
    <row r="125" spans="1:7" ht="47.25" hidden="1" x14ac:dyDescent="0.25">
      <c r="A125" s="29" t="s">
        <v>293</v>
      </c>
      <c r="B125" s="40" t="s">
        <v>612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612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612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612</v>
      </c>
      <c r="C128" s="40" t="s">
        <v>279</v>
      </c>
      <c r="D128" s="40" t="s">
        <v>133</v>
      </c>
      <c r="E128" s="40"/>
      <c r="F128" s="40" t="s">
        <v>651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'Пр.4 ведом.20'!#REF!</f>
        <v>#REF!</v>
      </c>
      <c r="H131" s="161" t="s">
        <v>746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651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'Пр.4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651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615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615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615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615</v>
      </c>
      <c r="C140" s="40" t="s">
        <v>279</v>
      </c>
      <c r="D140" s="40" t="s">
        <v>133</v>
      </c>
      <c r="E140" s="40"/>
      <c r="F140" s="40" t="s">
        <v>651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610</v>
      </c>
      <c r="B142" s="40" t="s">
        <v>616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616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616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616</v>
      </c>
      <c r="C145" s="40" t="s">
        <v>279</v>
      </c>
      <c r="D145" s="40" t="s">
        <v>228</v>
      </c>
      <c r="E145" s="40"/>
      <c r="F145" s="40" t="s">
        <v>651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651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651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651</v>
      </c>
      <c r="G157" s="10">
        <f>G156</f>
        <v>0</v>
      </c>
    </row>
    <row r="158" spans="1:7" ht="47.25" hidden="1" x14ac:dyDescent="0.25">
      <c r="A158" s="25" t="s">
        <v>618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651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617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'Пр.4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'Пр.4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'Пр.4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4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'Пр.4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4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'Пр.4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651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619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619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619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619</v>
      </c>
      <c r="C183" s="40" t="s">
        <v>279</v>
      </c>
      <c r="D183" s="40" t="s">
        <v>228</v>
      </c>
      <c r="E183" s="40"/>
      <c r="F183" s="40" t="s">
        <v>651</v>
      </c>
      <c r="G183" s="10">
        <v>0</v>
      </c>
    </row>
    <row r="184" spans="1:7" ht="47.25" hidden="1" x14ac:dyDescent="0.25">
      <c r="A184" s="29" t="s">
        <v>652</v>
      </c>
      <c r="B184" s="40" t="s">
        <v>620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620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620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620</v>
      </c>
      <c r="C187" s="40" t="s">
        <v>279</v>
      </c>
      <c r="D187" s="40" t="s">
        <v>228</v>
      </c>
      <c r="E187" s="40"/>
      <c r="F187" s="40" t="s">
        <v>651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720</v>
      </c>
      <c r="B191" s="20" t="s">
        <v>721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721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721</v>
      </c>
      <c r="C193" s="40" t="s">
        <v>279</v>
      </c>
      <c r="D193" s="40" t="s">
        <v>230</v>
      </c>
      <c r="E193" s="40" t="s">
        <v>290</v>
      </c>
      <c r="F193" s="40"/>
      <c r="G193" s="10" t="e">
        <f>'Пр.4 ведом.20'!#REF!</f>
        <v>#REF!</v>
      </c>
      <c r="H193" s="113"/>
    </row>
    <row r="194" spans="1:8" ht="47.25" x14ac:dyDescent="0.25">
      <c r="A194" s="29" t="s">
        <v>418</v>
      </c>
      <c r="B194" s="20" t="s">
        <v>721</v>
      </c>
      <c r="C194" s="40" t="s">
        <v>279</v>
      </c>
      <c r="D194" s="40" t="s">
        <v>230</v>
      </c>
      <c r="E194" s="40"/>
      <c r="F194" s="40" t="s">
        <v>651</v>
      </c>
      <c r="G194" s="10" t="e">
        <f>G189</f>
        <v>#REF!</v>
      </c>
    </row>
    <row r="195" spans="1:8" ht="47.25" hidden="1" x14ac:dyDescent="0.25">
      <c r="A195" s="29" t="s">
        <v>653</v>
      </c>
      <c r="B195" s="40" t="s">
        <v>621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621</v>
      </c>
      <c r="C196" s="40" t="s">
        <v>483</v>
      </c>
      <c r="D196" s="40" t="s">
        <v>654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621</v>
      </c>
      <c r="C197" s="40" t="s">
        <v>483</v>
      </c>
      <c r="D197" s="40" t="s">
        <v>654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613</v>
      </c>
      <c r="B198" s="40" t="s">
        <v>621</v>
      </c>
      <c r="C198" s="40" t="s">
        <v>483</v>
      </c>
      <c r="D198" s="40" t="s">
        <v>654</v>
      </c>
      <c r="E198" s="40" t="s">
        <v>614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621</v>
      </c>
      <c r="C199" s="40" t="s">
        <v>279</v>
      </c>
      <c r="D199" s="40" t="s">
        <v>228</v>
      </c>
      <c r="E199" s="40"/>
      <c r="F199" s="40" t="s">
        <v>651</v>
      </c>
      <c r="G199" s="10"/>
    </row>
    <row r="200" spans="1:8" ht="47.25" hidden="1" x14ac:dyDescent="0.25">
      <c r="A200" s="29" t="s">
        <v>655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613</v>
      </c>
      <c r="B203" s="20" t="s">
        <v>463</v>
      </c>
      <c r="C203" s="40" t="s">
        <v>279</v>
      </c>
      <c r="D203" s="40" t="s">
        <v>228</v>
      </c>
      <c r="E203" s="40" t="s">
        <v>614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651</v>
      </c>
      <c r="G204" s="6">
        <f>G200</f>
        <v>0</v>
      </c>
    </row>
    <row r="205" spans="1:8" ht="47.25" hidden="1" x14ac:dyDescent="0.25">
      <c r="A205" s="29" t="s">
        <v>618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651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624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'Пр.4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651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'Пр.4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656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'Пр.4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'Пр.4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'Пр.4 ведом.20'!#REF!</f>
        <v>#REF!</v>
      </c>
    </row>
    <row r="235" spans="1:7" ht="63" x14ac:dyDescent="0.25">
      <c r="A235" s="31" t="s">
        <v>710</v>
      </c>
      <c r="B235" s="40" t="s">
        <v>711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711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711</v>
      </c>
      <c r="C237" s="40" t="s">
        <v>133</v>
      </c>
      <c r="D237" s="40" t="s">
        <v>155</v>
      </c>
      <c r="E237" s="40" t="s">
        <v>149</v>
      </c>
      <c r="F237" s="40"/>
      <c r="G237" s="10" t="e">
        <f>'Пр.4 ведом.20'!#REF!</f>
        <v>#REF!</v>
      </c>
    </row>
    <row r="238" spans="1:7" ht="63" x14ac:dyDescent="0.25">
      <c r="A238" s="33" t="s">
        <v>206</v>
      </c>
      <c r="B238" s="40" t="s">
        <v>697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697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697</v>
      </c>
      <c r="C240" s="40" t="s">
        <v>133</v>
      </c>
      <c r="D240" s="40" t="s">
        <v>155</v>
      </c>
      <c r="E240" s="40" t="s">
        <v>149</v>
      </c>
      <c r="F240" s="40"/>
      <c r="G240" s="10" t="e">
        <f>'Пр.4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656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'Пр.4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656</v>
      </c>
      <c r="G248" s="10" t="e">
        <f>G242</f>
        <v>#REF!</v>
      </c>
    </row>
    <row r="249" spans="1:7" ht="141.75" x14ac:dyDescent="0.25">
      <c r="A249" s="41" t="s">
        <v>608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'Пр.4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656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'Пр.4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656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'Пр.4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656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657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'Пр.4 ведом.20'!#REF!</f>
        <v>#REF!</v>
      </c>
    </row>
    <row r="278" spans="1:7" ht="78.75" hidden="1" customHeight="1" x14ac:dyDescent="0.25">
      <c r="A278" s="29" t="s">
        <v>610</v>
      </c>
      <c r="B278" s="40" t="s">
        <v>658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658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658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658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659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659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659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659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660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660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660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660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'Пр.4 ведом.20'!#REF!</f>
        <v>#REF!</v>
      </c>
    </row>
    <row r="293" spans="1:7" ht="58.7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'Пр.4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610</v>
      </c>
      <c r="B301" s="40" t="s">
        <v>661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661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661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661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'Пр.4 ведом.20'!#REF!</f>
        <v>#REF!</v>
      </c>
      <c r="H307" s="161" t="s">
        <v>752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662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662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662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662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299</v>
      </c>
      <c r="B313" s="40" t="s">
        <v>663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663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663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663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'Пр.4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'Пр.4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'Пр.4 ведом.20'!#REF!</f>
        <v>#REF!</v>
      </c>
    </row>
    <row r="333" spans="1:7" ht="63" hidden="1" x14ac:dyDescent="0.25">
      <c r="A333" s="29" t="s">
        <v>291</v>
      </c>
      <c r="B333" s="40" t="s">
        <v>664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664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664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664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665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665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665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665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666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666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666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666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'Пр.4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622</v>
      </c>
      <c r="B349" s="40" t="s">
        <v>623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623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623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623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'Пр.4 ведом.20'!#REF!</f>
        <v>#REF!</v>
      </c>
    </row>
    <row r="359" spans="1:7" ht="63" hidden="1" x14ac:dyDescent="0.25">
      <c r="A359" s="29" t="s">
        <v>291</v>
      </c>
      <c r="B359" s="40" t="s">
        <v>625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625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625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625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627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'Пр.4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'Пр.4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626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626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626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626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'Пр.4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'Пр.4 ведом.20'!#REF!</f>
        <v>#REF!</v>
      </c>
    </row>
    <row r="383" spans="1:7" ht="63" hidden="1" x14ac:dyDescent="0.25">
      <c r="A383" s="45" t="s">
        <v>276</v>
      </c>
      <c r="B383" s="40" t="s">
        <v>667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450000000000003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668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628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628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628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628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669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4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'Пр.4 ведом.20'!#REF!</f>
        <v>#REF!</v>
      </c>
    </row>
    <row r="401" spans="1:7" ht="15.75" x14ac:dyDescent="0.25">
      <c r="A401" s="25" t="s">
        <v>698</v>
      </c>
      <c r="B401" s="20" t="s">
        <v>699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699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699</v>
      </c>
      <c r="C403" s="40" t="s">
        <v>314</v>
      </c>
      <c r="D403" s="40" t="s">
        <v>133</v>
      </c>
      <c r="E403" s="40" t="s">
        <v>290</v>
      </c>
      <c r="F403" s="2"/>
      <c r="G403" s="10" t="e">
        <f>'Пр.4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'Пр.4 ведом.20'!#REF!</f>
        <v>#REF!</v>
      </c>
    </row>
    <row r="415" spans="1:7" ht="63" hidden="1" x14ac:dyDescent="0.25">
      <c r="A415" s="45" t="s">
        <v>670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'Пр.4 ведом.20'!#REF!</f>
        <v>#REF!</v>
      </c>
    </row>
    <row r="426" spans="1:7" ht="31.7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'Пр.4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'Пр.4 ведом.20'!#REF!</f>
        <v>#REF!</v>
      </c>
    </row>
    <row r="432" spans="1:7" ht="47.25" x14ac:dyDescent="0.25">
      <c r="A432" s="45" t="s">
        <v>638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'Пр.4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'Пр.4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'Пр.4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'Пр.4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'Пр.4 ведом.20'!#REF!</f>
        <v>#REF!</v>
      </c>
    </row>
    <row r="450" spans="1:7" ht="47.25" x14ac:dyDescent="0.25">
      <c r="A450" s="45" t="s">
        <v>638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'Пр.4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671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638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'Пр.4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'Пр.4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'Пр.4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'Пр.4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'Пр.4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'Пр.4 ведом.20'!#REF!</f>
        <v>#REF!</v>
      </c>
    </row>
    <row r="486" spans="1:7" ht="47.25" x14ac:dyDescent="0.25">
      <c r="A486" s="45" t="s">
        <v>638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'Пр.4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'Пр.4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'Пр.4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'Пр.4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'Пр.4 ведом.20'!#REF!</f>
        <v>#REF!</v>
      </c>
    </row>
    <row r="507" spans="1:9" ht="47.25" x14ac:dyDescent="0.25">
      <c r="A507" s="25" t="s">
        <v>694</v>
      </c>
      <c r="B507" s="20" t="s">
        <v>695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695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695</v>
      </c>
      <c r="C509" s="40" t="s">
        <v>314</v>
      </c>
      <c r="D509" s="40" t="s">
        <v>165</v>
      </c>
      <c r="E509" s="2">
        <v>240</v>
      </c>
      <c r="F509" s="2"/>
      <c r="G509" s="6" t="e">
        <f>'Пр.4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728</v>
      </c>
      <c r="B511" s="24" t="s">
        <v>726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726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726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734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734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734</v>
      </c>
      <c r="C516" s="40" t="s">
        <v>133</v>
      </c>
      <c r="D516" s="40" t="s">
        <v>155</v>
      </c>
      <c r="E516" s="2">
        <v>240</v>
      </c>
      <c r="F516" s="2"/>
      <c r="G516" s="6" t="e">
        <f>'Пр.4 ведом.20'!#REF!</f>
        <v>#REF!</v>
      </c>
    </row>
    <row r="517" spans="1:9" ht="66.2" hidden="1" customHeight="1" x14ac:dyDescent="0.25">
      <c r="A517" s="29"/>
      <c r="B517" s="20" t="s">
        <v>727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727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727</v>
      </c>
      <c r="C519" s="40" t="s">
        <v>133</v>
      </c>
      <c r="D519" s="40" t="s">
        <v>155</v>
      </c>
      <c r="E519" s="2">
        <v>240</v>
      </c>
      <c r="F519" s="2"/>
      <c r="G519" s="6" t="e">
        <f>'Пр.4 ведом.20'!#REF!</f>
        <v>#REF!</v>
      </c>
    </row>
    <row r="520" spans="1:9" ht="31.5" x14ac:dyDescent="0.25">
      <c r="A520" s="29" t="s">
        <v>163</v>
      </c>
      <c r="B520" s="20" t="s">
        <v>726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726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726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734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734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734</v>
      </c>
      <c r="C525" s="40" t="s">
        <v>314</v>
      </c>
      <c r="D525" s="40" t="s">
        <v>165</v>
      </c>
      <c r="E525" s="2">
        <v>240</v>
      </c>
      <c r="F525" s="2"/>
      <c r="G525" s="6" t="e">
        <f>'Пр.4 ведом.20'!#REF!</f>
        <v>#REF!</v>
      </c>
    </row>
    <row r="526" spans="1:9" ht="63" x14ac:dyDescent="0.25">
      <c r="A526" s="45" t="s">
        <v>276</v>
      </c>
      <c r="B526" s="20" t="s">
        <v>726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730</v>
      </c>
      <c r="B527" s="24" t="s">
        <v>732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732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732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731</v>
      </c>
      <c r="B530" s="20" t="s">
        <v>733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733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733</v>
      </c>
      <c r="C532" s="40" t="s">
        <v>249</v>
      </c>
      <c r="D532" s="40" t="s">
        <v>230</v>
      </c>
      <c r="E532" s="2">
        <v>240</v>
      </c>
      <c r="F532" s="2"/>
      <c r="G532" s="6" t="e">
        <f>'Пр.4 ведом.20'!#REF!</f>
        <v>#REF!</v>
      </c>
    </row>
    <row r="533" spans="1:7" ht="47.25" x14ac:dyDescent="0.25">
      <c r="A533" s="45" t="s">
        <v>638</v>
      </c>
      <c r="B533" s="20" t="s">
        <v>732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672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9"/>
  <sheetViews>
    <sheetView view="pageBreakPreview" topLeftCell="A1221"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60.7109375" style="310" customWidth="1"/>
    <col min="2" max="2" width="7" style="310" customWidth="1"/>
    <col min="3" max="3" width="4.28515625" style="310" customWidth="1"/>
    <col min="4" max="4" width="4.85546875" style="310" customWidth="1"/>
    <col min="5" max="5" width="15.42578125" style="310" customWidth="1"/>
    <col min="6" max="6" width="5.7109375" style="310" customWidth="1"/>
    <col min="7" max="7" width="11.85546875" style="340" customWidth="1"/>
    <col min="8" max="8" width="10.42578125" style="340" customWidth="1"/>
    <col min="9" max="9" width="11.42578125" style="340" customWidth="1"/>
    <col min="10" max="10" width="9.5703125" style="1" bestFit="1" customWidth="1"/>
    <col min="11" max="16384" width="9.140625" style="1"/>
  </cols>
  <sheetData>
    <row r="1" spans="1:10" ht="15.75" x14ac:dyDescent="0.25">
      <c r="A1" s="63"/>
      <c r="B1" s="63"/>
      <c r="C1" s="63"/>
      <c r="D1" s="63"/>
      <c r="H1" s="437" t="s">
        <v>1662</v>
      </c>
      <c r="I1" s="437"/>
      <c r="J1" s="369"/>
    </row>
    <row r="2" spans="1:10" ht="15.75" x14ac:dyDescent="0.25">
      <c r="A2" s="63"/>
      <c r="B2" s="63"/>
      <c r="C2" s="63"/>
      <c r="D2" s="63"/>
      <c r="H2" s="437" t="s">
        <v>0</v>
      </c>
      <c r="I2" s="437"/>
      <c r="J2" s="369"/>
    </row>
    <row r="3" spans="1:10" ht="15.75" x14ac:dyDescent="0.25">
      <c r="A3" s="131"/>
      <c r="B3" s="131"/>
      <c r="C3" s="131"/>
      <c r="D3" s="131"/>
      <c r="H3" s="437" t="s">
        <v>1678</v>
      </c>
      <c r="I3" s="437"/>
      <c r="J3" s="369"/>
    </row>
    <row r="4" spans="1:10" s="211" customFormat="1" ht="15.75" x14ac:dyDescent="0.25">
      <c r="A4" s="362"/>
      <c r="B4" s="362"/>
      <c r="C4" s="362"/>
      <c r="D4" s="362"/>
      <c r="E4" s="362"/>
      <c r="F4" s="362"/>
      <c r="G4" s="290"/>
      <c r="H4" s="290"/>
      <c r="I4" s="290"/>
    </row>
    <row r="5" spans="1:10" ht="15.75" customHeight="1" x14ac:dyDescent="0.25">
      <c r="A5" s="436" t="s">
        <v>1619</v>
      </c>
      <c r="B5" s="436"/>
      <c r="C5" s="436"/>
      <c r="D5" s="436"/>
      <c r="E5" s="436"/>
      <c r="F5" s="436"/>
      <c r="G5" s="436"/>
      <c r="H5" s="436"/>
      <c r="I5" s="436"/>
    </row>
    <row r="6" spans="1:10" ht="15.75" x14ac:dyDescent="0.25">
      <c r="A6" s="361"/>
      <c r="B6" s="361"/>
      <c r="C6" s="361"/>
      <c r="D6" s="361"/>
      <c r="E6" s="361"/>
      <c r="F6" s="361"/>
    </row>
    <row r="7" spans="1:10" ht="15.75" x14ac:dyDescent="0.25">
      <c r="A7" s="13"/>
      <c r="B7" s="13"/>
      <c r="C7" s="13"/>
      <c r="D7" s="13"/>
      <c r="E7" s="13"/>
      <c r="F7" s="13"/>
      <c r="G7" s="291"/>
      <c r="H7" s="291"/>
      <c r="I7" s="291"/>
    </row>
    <row r="8" spans="1:10" ht="61.9" customHeight="1" x14ac:dyDescent="0.25">
      <c r="A8" s="360" t="s">
        <v>125</v>
      </c>
      <c r="B8" s="360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357" t="s">
        <v>1606</v>
      </c>
      <c r="H8" s="357" t="s">
        <v>1607</v>
      </c>
      <c r="I8" s="357" t="s">
        <v>1608</v>
      </c>
    </row>
    <row r="9" spans="1:10" ht="31.5" x14ac:dyDescent="0.25">
      <c r="A9" s="315" t="s">
        <v>131</v>
      </c>
      <c r="B9" s="315">
        <v>901</v>
      </c>
      <c r="C9" s="347"/>
      <c r="D9" s="347"/>
      <c r="E9" s="347"/>
      <c r="F9" s="347"/>
      <c r="G9" s="317">
        <f>G10</f>
        <v>12750.448899999999</v>
      </c>
      <c r="H9" s="317">
        <f t="shared" ref="H9:H12" si="0">H10</f>
        <v>12664.422859999999</v>
      </c>
      <c r="I9" s="317">
        <f t="shared" ref="I9:I72" si="1">H9/G9*100</f>
        <v>99.325309715174029</v>
      </c>
    </row>
    <row r="10" spans="1:10" ht="15.75" x14ac:dyDescent="0.25">
      <c r="A10" s="318" t="s">
        <v>132</v>
      </c>
      <c r="B10" s="315">
        <v>901</v>
      </c>
      <c r="C10" s="319" t="s">
        <v>133</v>
      </c>
      <c r="D10" s="347"/>
      <c r="E10" s="347"/>
      <c r="F10" s="347"/>
      <c r="G10" s="317">
        <f>G11</f>
        <v>12750.448899999999</v>
      </c>
      <c r="H10" s="317">
        <f t="shared" si="0"/>
        <v>12664.422859999999</v>
      </c>
      <c r="I10" s="317">
        <f t="shared" si="1"/>
        <v>99.325309715174029</v>
      </c>
    </row>
    <row r="11" spans="1:10" ht="47.25" x14ac:dyDescent="0.25">
      <c r="A11" s="318" t="s">
        <v>134</v>
      </c>
      <c r="B11" s="315">
        <v>901</v>
      </c>
      <c r="C11" s="319" t="s">
        <v>133</v>
      </c>
      <c r="D11" s="319" t="s">
        <v>135</v>
      </c>
      <c r="E11" s="319"/>
      <c r="F11" s="319"/>
      <c r="G11" s="317">
        <f>G12</f>
        <v>12750.448899999999</v>
      </c>
      <c r="H11" s="317">
        <f t="shared" si="0"/>
        <v>12664.422859999999</v>
      </c>
      <c r="I11" s="317">
        <f t="shared" si="1"/>
        <v>99.325309715174029</v>
      </c>
    </row>
    <row r="12" spans="1:10" ht="31.5" x14ac:dyDescent="0.25">
      <c r="A12" s="318" t="s">
        <v>988</v>
      </c>
      <c r="B12" s="315">
        <v>901</v>
      </c>
      <c r="C12" s="319" t="s">
        <v>133</v>
      </c>
      <c r="D12" s="319" t="s">
        <v>135</v>
      </c>
      <c r="E12" s="319" t="s">
        <v>902</v>
      </c>
      <c r="F12" s="319"/>
      <c r="G12" s="317">
        <f>G13</f>
        <v>12750.448899999999</v>
      </c>
      <c r="H12" s="317">
        <f t="shared" si="0"/>
        <v>12664.422859999999</v>
      </c>
      <c r="I12" s="317">
        <f t="shared" si="1"/>
        <v>99.325309715174029</v>
      </c>
    </row>
    <row r="13" spans="1:10" ht="15.75" x14ac:dyDescent="0.25">
      <c r="A13" s="318" t="s">
        <v>989</v>
      </c>
      <c r="B13" s="315">
        <v>901</v>
      </c>
      <c r="C13" s="319" t="s">
        <v>133</v>
      </c>
      <c r="D13" s="319" t="s">
        <v>135</v>
      </c>
      <c r="E13" s="319" t="s">
        <v>903</v>
      </c>
      <c r="F13" s="319"/>
      <c r="G13" s="317">
        <f>G14+G21+G24</f>
        <v>12750.448899999999</v>
      </c>
      <c r="H13" s="317">
        <f t="shared" ref="H13" si="2">H14+H21+H24</f>
        <v>12664.422859999999</v>
      </c>
      <c r="I13" s="317">
        <f t="shared" si="1"/>
        <v>99.325309715174029</v>
      </c>
    </row>
    <row r="14" spans="1:10" ht="31.5" x14ac:dyDescent="0.25">
      <c r="A14" s="349" t="s">
        <v>965</v>
      </c>
      <c r="B14" s="346">
        <v>901</v>
      </c>
      <c r="C14" s="347" t="s">
        <v>133</v>
      </c>
      <c r="D14" s="347" t="s">
        <v>135</v>
      </c>
      <c r="E14" s="347" t="s">
        <v>904</v>
      </c>
      <c r="F14" s="347"/>
      <c r="G14" s="321">
        <f>G15+G17+G19</f>
        <v>12485</v>
      </c>
      <c r="H14" s="321">
        <f t="shared" ref="H14" si="3">H15+H17+H19</f>
        <v>12408.859399999999</v>
      </c>
      <c r="I14" s="321">
        <f t="shared" si="1"/>
        <v>99.390143372046452</v>
      </c>
    </row>
    <row r="15" spans="1:10" ht="78.75" x14ac:dyDescent="0.25">
      <c r="A15" s="349" t="s">
        <v>142</v>
      </c>
      <c r="B15" s="346">
        <v>901</v>
      </c>
      <c r="C15" s="347" t="s">
        <v>133</v>
      </c>
      <c r="D15" s="347" t="s">
        <v>135</v>
      </c>
      <c r="E15" s="347" t="s">
        <v>904</v>
      </c>
      <c r="F15" s="347" t="s">
        <v>143</v>
      </c>
      <c r="G15" s="321">
        <f>G16</f>
        <v>11873.1</v>
      </c>
      <c r="H15" s="321">
        <f t="shared" ref="H15" si="4">H16</f>
        <v>11844.4944</v>
      </c>
      <c r="I15" s="321">
        <f t="shared" si="1"/>
        <v>99.759072188392238</v>
      </c>
    </row>
    <row r="16" spans="1:10" ht="31.5" x14ac:dyDescent="0.25">
      <c r="A16" s="349" t="s">
        <v>144</v>
      </c>
      <c r="B16" s="346">
        <v>901</v>
      </c>
      <c r="C16" s="347" t="s">
        <v>133</v>
      </c>
      <c r="D16" s="347" t="s">
        <v>135</v>
      </c>
      <c r="E16" s="347" t="s">
        <v>904</v>
      </c>
      <c r="F16" s="347" t="s">
        <v>145</v>
      </c>
      <c r="G16" s="339">
        <f>11575+588+30.1-180+250-300-40-50</f>
        <v>11873.1</v>
      </c>
      <c r="H16" s="339">
        <v>11844.4944</v>
      </c>
      <c r="I16" s="321">
        <f t="shared" si="1"/>
        <v>99.759072188392238</v>
      </c>
    </row>
    <row r="17" spans="1:9" ht="31.5" x14ac:dyDescent="0.25">
      <c r="A17" s="349" t="s">
        <v>146</v>
      </c>
      <c r="B17" s="346">
        <v>901</v>
      </c>
      <c r="C17" s="347" t="s">
        <v>133</v>
      </c>
      <c r="D17" s="347" t="s">
        <v>135</v>
      </c>
      <c r="E17" s="347" t="s">
        <v>904</v>
      </c>
      <c r="F17" s="347" t="s">
        <v>147</v>
      </c>
      <c r="G17" s="321">
        <f>G18</f>
        <v>611.9</v>
      </c>
      <c r="H17" s="321">
        <f t="shared" ref="H17" si="5">H18</f>
        <v>564.36500000000001</v>
      </c>
      <c r="I17" s="321">
        <f t="shared" si="1"/>
        <v>92.231573786566429</v>
      </c>
    </row>
    <row r="18" spans="1:9" ht="31.5" x14ac:dyDescent="0.25">
      <c r="A18" s="349" t="s">
        <v>148</v>
      </c>
      <c r="B18" s="346">
        <v>901</v>
      </c>
      <c r="C18" s="347" t="s">
        <v>133</v>
      </c>
      <c r="D18" s="347" t="s">
        <v>135</v>
      </c>
      <c r="E18" s="347" t="s">
        <v>904</v>
      </c>
      <c r="F18" s="347" t="s">
        <v>149</v>
      </c>
      <c r="G18" s="339">
        <f>1177.8-0.8-200-35.1-250-40-40</f>
        <v>611.9</v>
      </c>
      <c r="H18" s="339">
        <v>564.36500000000001</v>
      </c>
      <c r="I18" s="321">
        <f t="shared" si="1"/>
        <v>92.231573786566429</v>
      </c>
    </row>
    <row r="19" spans="1:9" ht="15.75" hidden="1" x14ac:dyDescent="0.25">
      <c r="A19" s="349" t="s">
        <v>150</v>
      </c>
      <c r="B19" s="346">
        <v>901</v>
      </c>
      <c r="C19" s="347" t="s">
        <v>133</v>
      </c>
      <c r="D19" s="347" t="s">
        <v>135</v>
      </c>
      <c r="E19" s="347" t="s">
        <v>904</v>
      </c>
      <c r="F19" s="347" t="s">
        <v>151</v>
      </c>
      <c r="G19" s="321">
        <f>G20</f>
        <v>0</v>
      </c>
      <c r="H19" s="321">
        <f t="shared" ref="H19" si="6">H20</f>
        <v>0</v>
      </c>
      <c r="I19" s="321" t="e">
        <f t="shared" si="1"/>
        <v>#DIV/0!</v>
      </c>
    </row>
    <row r="20" spans="1:9" ht="15.75" hidden="1" x14ac:dyDescent="0.25">
      <c r="A20" s="349" t="s">
        <v>583</v>
      </c>
      <c r="B20" s="346">
        <v>901</v>
      </c>
      <c r="C20" s="347" t="s">
        <v>133</v>
      </c>
      <c r="D20" s="347" t="s">
        <v>135</v>
      </c>
      <c r="E20" s="347" t="s">
        <v>904</v>
      </c>
      <c r="F20" s="347" t="s">
        <v>153</v>
      </c>
      <c r="G20" s="321">
        <f>28-28</f>
        <v>0</v>
      </c>
      <c r="H20" s="321">
        <f t="shared" ref="H20" si="7">28-28</f>
        <v>0</v>
      </c>
      <c r="I20" s="321" t="e">
        <f t="shared" si="1"/>
        <v>#DIV/0!</v>
      </c>
    </row>
    <row r="21" spans="1:9" s="211" customFormat="1" ht="31.5" x14ac:dyDescent="0.25">
      <c r="A21" s="349" t="s">
        <v>883</v>
      </c>
      <c r="B21" s="346">
        <v>901</v>
      </c>
      <c r="C21" s="347" t="s">
        <v>133</v>
      </c>
      <c r="D21" s="347" t="s">
        <v>135</v>
      </c>
      <c r="E21" s="347" t="s">
        <v>906</v>
      </c>
      <c r="F21" s="347"/>
      <c r="G21" s="321">
        <f>G22</f>
        <v>184</v>
      </c>
      <c r="H21" s="321">
        <f t="shared" ref="H21:H22" si="8">H22</f>
        <v>174.11456000000001</v>
      </c>
      <c r="I21" s="321">
        <f t="shared" si="1"/>
        <v>94.627478260869566</v>
      </c>
    </row>
    <row r="22" spans="1:9" s="211" customFormat="1" ht="78.75" x14ac:dyDescent="0.25">
      <c r="A22" s="349" t="s">
        <v>142</v>
      </c>
      <c r="B22" s="346">
        <v>901</v>
      </c>
      <c r="C22" s="347" t="s">
        <v>133</v>
      </c>
      <c r="D22" s="347" t="s">
        <v>135</v>
      </c>
      <c r="E22" s="347" t="s">
        <v>906</v>
      </c>
      <c r="F22" s="347" t="s">
        <v>143</v>
      </c>
      <c r="G22" s="321">
        <f>G23</f>
        <v>184</v>
      </c>
      <c r="H22" s="321">
        <f t="shared" si="8"/>
        <v>174.11456000000001</v>
      </c>
      <c r="I22" s="321">
        <f t="shared" si="1"/>
        <v>94.627478260869566</v>
      </c>
    </row>
    <row r="23" spans="1:9" s="211" customFormat="1" ht="31.5" x14ac:dyDescent="0.25">
      <c r="A23" s="349" t="s">
        <v>144</v>
      </c>
      <c r="B23" s="346">
        <v>901</v>
      </c>
      <c r="C23" s="347" t="s">
        <v>133</v>
      </c>
      <c r="D23" s="347" t="s">
        <v>135</v>
      </c>
      <c r="E23" s="347" t="s">
        <v>906</v>
      </c>
      <c r="F23" s="347" t="s">
        <v>145</v>
      </c>
      <c r="G23" s="321">
        <f>294-110</f>
        <v>184</v>
      </c>
      <c r="H23" s="321">
        <v>174.11456000000001</v>
      </c>
      <c r="I23" s="321">
        <f t="shared" si="1"/>
        <v>94.627478260869566</v>
      </c>
    </row>
    <row r="24" spans="1:9" s="310" customFormat="1" ht="31.5" x14ac:dyDescent="0.25">
      <c r="A24" s="349" t="s">
        <v>1582</v>
      </c>
      <c r="B24" s="346">
        <v>901</v>
      </c>
      <c r="C24" s="347" t="s">
        <v>1583</v>
      </c>
      <c r="D24" s="347" t="s">
        <v>135</v>
      </c>
      <c r="E24" s="347" t="s">
        <v>1584</v>
      </c>
      <c r="F24" s="347"/>
      <c r="G24" s="321">
        <f>G25</f>
        <v>81.448899999999995</v>
      </c>
      <c r="H24" s="321">
        <f t="shared" ref="H24:H25" si="9">H25</f>
        <v>81.448899999999995</v>
      </c>
      <c r="I24" s="321">
        <f t="shared" si="1"/>
        <v>100</v>
      </c>
    </row>
    <row r="25" spans="1:9" s="310" customFormat="1" ht="78.75" x14ac:dyDescent="0.25">
      <c r="A25" s="349" t="s">
        <v>142</v>
      </c>
      <c r="B25" s="346">
        <v>901</v>
      </c>
      <c r="C25" s="347" t="s">
        <v>1583</v>
      </c>
      <c r="D25" s="347" t="s">
        <v>135</v>
      </c>
      <c r="E25" s="347" t="s">
        <v>1584</v>
      </c>
      <c r="F25" s="347" t="s">
        <v>143</v>
      </c>
      <c r="G25" s="321">
        <f>G26</f>
        <v>81.448899999999995</v>
      </c>
      <c r="H25" s="321">
        <f t="shared" si="9"/>
        <v>81.448899999999995</v>
      </c>
      <c r="I25" s="321">
        <f t="shared" si="1"/>
        <v>100</v>
      </c>
    </row>
    <row r="26" spans="1:9" s="310" customFormat="1" ht="31.5" x14ac:dyDescent="0.25">
      <c r="A26" s="349" t="s">
        <v>144</v>
      </c>
      <c r="B26" s="346">
        <v>901</v>
      </c>
      <c r="C26" s="347" t="s">
        <v>1583</v>
      </c>
      <c r="D26" s="347" t="s">
        <v>135</v>
      </c>
      <c r="E26" s="347" t="s">
        <v>1584</v>
      </c>
      <c r="F26" s="347" t="s">
        <v>145</v>
      </c>
      <c r="G26" s="321">
        <v>81.448899999999995</v>
      </c>
      <c r="H26" s="321">
        <v>81.448899999999995</v>
      </c>
      <c r="I26" s="321">
        <f t="shared" si="1"/>
        <v>100</v>
      </c>
    </row>
    <row r="27" spans="1:9" ht="15.75" x14ac:dyDescent="0.25">
      <c r="A27" s="315" t="s">
        <v>163</v>
      </c>
      <c r="B27" s="315">
        <v>902</v>
      </c>
      <c r="C27" s="347"/>
      <c r="D27" s="347"/>
      <c r="E27" s="347"/>
      <c r="F27" s="347"/>
      <c r="G27" s="317">
        <f>G28+G158+G177+G207+G151</f>
        <v>87622.030599999998</v>
      </c>
      <c r="H27" s="317">
        <f t="shared" ref="H27" si="10">H28+H158+H177+H207+H151</f>
        <v>85549.899890000015</v>
      </c>
      <c r="I27" s="317">
        <f t="shared" si="1"/>
        <v>97.635148722517755</v>
      </c>
    </row>
    <row r="28" spans="1:9" ht="15.75" x14ac:dyDescent="0.25">
      <c r="A28" s="318" t="s">
        <v>132</v>
      </c>
      <c r="B28" s="315">
        <v>902</v>
      </c>
      <c r="C28" s="319" t="s">
        <v>133</v>
      </c>
      <c r="D28" s="347"/>
      <c r="E28" s="347"/>
      <c r="F28" s="347"/>
      <c r="G28" s="317">
        <f>G29+G98+G121+G110</f>
        <v>66904.545599999998</v>
      </c>
      <c r="H28" s="317">
        <f t="shared" ref="H28" si="11">H29+H98+H121+H110</f>
        <v>65287.299650000015</v>
      </c>
      <c r="I28" s="317">
        <f t="shared" si="1"/>
        <v>97.58275624548898</v>
      </c>
    </row>
    <row r="29" spans="1:9" ht="63" x14ac:dyDescent="0.25">
      <c r="A29" s="318" t="s">
        <v>164</v>
      </c>
      <c r="B29" s="315">
        <v>902</v>
      </c>
      <c r="C29" s="319" t="s">
        <v>133</v>
      </c>
      <c r="D29" s="319" t="s">
        <v>165</v>
      </c>
      <c r="E29" s="319"/>
      <c r="F29" s="319"/>
      <c r="G29" s="317">
        <f>G30+G80</f>
        <v>59312.032800000001</v>
      </c>
      <c r="H29" s="317">
        <f t="shared" ref="H29" si="12">H30+H80</f>
        <v>57848.340980000015</v>
      </c>
      <c r="I29" s="317">
        <f t="shared" si="1"/>
        <v>97.532217745873666</v>
      </c>
    </row>
    <row r="30" spans="1:9" ht="31.5" x14ac:dyDescent="0.25">
      <c r="A30" s="318" t="s">
        <v>988</v>
      </c>
      <c r="B30" s="315">
        <v>902</v>
      </c>
      <c r="C30" s="319" t="s">
        <v>133</v>
      </c>
      <c r="D30" s="319" t="s">
        <v>165</v>
      </c>
      <c r="E30" s="319" t="s">
        <v>902</v>
      </c>
      <c r="F30" s="319"/>
      <c r="G30" s="44">
        <f>G31+G50</f>
        <v>58734.032800000001</v>
      </c>
      <c r="H30" s="44">
        <f t="shared" ref="H30" si="13">H31+H50</f>
        <v>57282.847440000012</v>
      </c>
      <c r="I30" s="317">
        <f t="shared" si="1"/>
        <v>97.529225747291122</v>
      </c>
    </row>
    <row r="31" spans="1:9" s="211" customFormat="1" ht="15.75" x14ac:dyDescent="0.25">
      <c r="A31" s="318" t="s">
        <v>989</v>
      </c>
      <c r="B31" s="315">
        <v>902</v>
      </c>
      <c r="C31" s="319" t="s">
        <v>133</v>
      </c>
      <c r="D31" s="319" t="s">
        <v>165</v>
      </c>
      <c r="E31" s="319" t="s">
        <v>903</v>
      </c>
      <c r="F31" s="319"/>
      <c r="G31" s="44">
        <f>G32+G41+G44+G47</f>
        <v>55283.042800000003</v>
      </c>
      <c r="H31" s="44">
        <f t="shared" ref="H31" si="14">H32+H41+H44+H47</f>
        <v>53992.778330000008</v>
      </c>
      <c r="I31" s="317">
        <f t="shared" si="1"/>
        <v>97.666075518549434</v>
      </c>
    </row>
    <row r="32" spans="1:9" ht="31.5" x14ac:dyDescent="0.25">
      <c r="A32" s="349" t="s">
        <v>965</v>
      </c>
      <c r="B32" s="346">
        <v>902</v>
      </c>
      <c r="C32" s="347" t="s">
        <v>133</v>
      </c>
      <c r="D32" s="347" t="s">
        <v>165</v>
      </c>
      <c r="E32" s="347" t="s">
        <v>904</v>
      </c>
      <c r="F32" s="347"/>
      <c r="G32" s="321">
        <f>G33+G35+G39+G37</f>
        <v>50579.514999999999</v>
      </c>
      <c r="H32" s="321">
        <f t="shared" ref="H32" si="15">H33+H35+H39+H37</f>
        <v>49325.354640000005</v>
      </c>
      <c r="I32" s="321">
        <f t="shared" si="1"/>
        <v>97.520418374909298</v>
      </c>
    </row>
    <row r="33" spans="1:9" ht="78.75" x14ac:dyDescent="0.25">
      <c r="A33" s="349" t="s">
        <v>142</v>
      </c>
      <c r="B33" s="346">
        <v>902</v>
      </c>
      <c r="C33" s="347" t="s">
        <v>133</v>
      </c>
      <c r="D33" s="347" t="s">
        <v>165</v>
      </c>
      <c r="E33" s="347" t="s">
        <v>904</v>
      </c>
      <c r="F33" s="347" t="s">
        <v>143</v>
      </c>
      <c r="G33" s="321">
        <f>G34</f>
        <v>43646.415000000001</v>
      </c>
      <c r="H33" s="321">
        <f t="shared" ref="H33" si="16">H34</f>
        <v>43388.807480000003</v>
      </c>
      <c r="I33" s="321">
        <f t="shared" si="1"/>
        <v>99.409785385580932</v>
      </c>
    </row>
    <row r="34" spans="1:9" ht="31.5" x14ac:dyDescent="0.25">
      <c r="A34" s="349" t="s">
        <v>144</v>
      </c>
      <c r="B34" s="346">
        <v>902</v>
      </c>
      <c r="C34" s="347" t="s">
        <v>133</v>
      </c>
      <c r="D34" s="347" t="s">
        <v>165</v>
      </c>
      <c r="E34" s="347" t="s">
        <v>904</v>
      </c>
      <c r="F34" s="347" t="s">
        <v>145</v>
      </c>
      <c r="G34" s="339">
        <f>37513+1908+243.9+1931+656+95.1+2239.915-40.5-500-400</f>
        <v>43646.415000000001</v>
      </c>
      <c r="H34" s="339">
        <v>43388.807480000003</v>
      </c>
      <c r="I34" s="321">
        <f t="shared" si="1"/>
        <v>99.409785385580932</v>
      </c>
    </row>
    <row r="35" spans="1:9" ht="31.5" x14ac:dyDescent="0.25">
      <c r="A35" s="349" t="s">
        <v>146</v>
      </c>
      <c r="B35" s="346">
        <v>902</v>
      </c>
      <c r="C35" s="347" t="s">
        <v>133</v>
      </c>
      <c r="D35" s="347" t="s">
        <v>165</v>
      </c>
      <c r="E35" s="347" t="s">
        <v>904</v>
      </c>
      <c r="F35" s="347" t="s">
        <v>147</v>
      </c>
      <c r="G35" s="321">
        <f>G36</f>
        <v>6792.1</v>
      </c>
      <c r="H35" s="321">
        <f t="shared" ref="H35" si="17">H36</f>
        <v>5797.47516</v>
      </c>
      <c r="I35" s="321">
        <f t="shared" si="1"/>
        <v>85.356151411198297</v>
      </c>
    </row>
    <row r="36" spans="1:9" ht="33.75" customHeight="1" x14ac:dyDescent="0.25">
      <c r="A36" s="349" t="s">
        <v>148</v>
      </c>
      <c r="B36" s="346">
        <v>902</v>
      </c>
      <c r="C36" s="347" t="s">
        <v>133</v>
      </c>
      <c r="D36" s="347" t="s">
        <v>165</v>
      </c>
      <c r="E36" s="347" t="s">
        <v>904</v>
      </c>
      <c r="F36" s="347" t="s">
        <v>149</v>
      </c>
      <c r="G36" s="339">
        <f>6647+615-1000-1200+500+350+794+180+151-20-50-55-140+40.5-85.4+65</f>
        <v>6792.1</v>
      </c>
      <c r="H36" s="339">
        <v>5797.47516</v>
      </c>
      <c r="I36" s="321">
        <f t="shared" si="1"/>
        <v>85.356151411198297</v>
      </c>
    </row>
    <row r="37" spans="1:9" s="211" customFormat="1" ht="15.75" hidden="1" x14ac:dyDescent="0.25">
      <c r="A37" s="349" t="s">
        <v>263</v>
      </c>
      <c r="B37" s="346">
        <v>902</v>
      </c>
      <c r="C37" s="347" t="s">
        <v>133</v>
      </c>
      <c r="D37" s="347" t="s">
        <v>165</v>
      </c>
      <c r="E37" s="347" t="s">
        <v>904</v>
      </c>
      <c r="F37" s="347" t="s">
        <v>264</v>
      </c>
      <c r="G37" s="339">
        <f>G38</f>
        <v>0</v>
      </c>
      <c r="H37" s="339">
        <f t="shared" ref="H37" si="18">H38</f>
        <v>0</v>
      </c>
      <c r="I37" s="321" t="e">
        <f t="shared" si="1"/>
        <v>#DIV/0!</v>
      </c>
    </row>
    <row r="38" spans="1:9" s="211" customFormat="1" ht="31.5" hidden="1" x14ac:dyDescent="0.25">
      <c r="A38" s="349" t="s">
        <v>265</v>
      </c>
      <c r="B38" s="346">
        <v>902</v>
      </c>
      <c r="C38" s="347" t="s">
        <v>133</v>
      </c>
      <c r="D38" s="347" t="s">
        <v>165</v>
      </c>
      <c r="E38" s="347" t="s">
        <v>904</v>
      </c>
      <c r="F38" s="347" t="s">
        <v>266</v>
      </c>
      <c r="G38" s="339">
        <f>755-755</f>
        <v>0</v>
      </c>
      <c r="H38" s="339">
        <f t="shared" ref="H38" si="19">755-755</f>
        <v>0</v>
      </c>
      <c r="I38" s="321" t="e">
        <f t="shared" si="1"/>
        <v>#DIV/0!</v>
      </c>
    </row>
    <row r="39" spans="1:9" ht="15.75" x14ac:dyDescent="0.25">
      <c r="A39" s="349" t="s">
        <v>150</v>
      </c>
      <c r="B39" s="346">
        <v>902</v>
      </c>
      <c r="C39" s="347" t="s">
        <v>133</v>
      </c>
      <c r="D39" s="347" t="s">
        <v>165</v>
      </c>
      <c r="E39" s="347" t="s">
        <v>904</v>
      </c>
      <c r="F39" s="347" t="s">
        <v>160</v>
      </c>
      <c r="G39" s="321">
        <f>G40</f>
        <v>141</v>
      </c>
      <c r="H39" s="321">
        <f t="shared" ref="H39" si="20">H40</f>
        <v>139.072</v>
      </c>
      <c r="I39" s="321">
        <f t="shared" si="1"/>
        <v>98.632624113475174</v>
      </c>
    </row>
    <row r="40" spans="1:9" ht="15.75" x14ac:dyDescent="0.25">
      <c r="A40" s="349" t="s">
        <v>583</v>
      </c>
      <c r="B40" s="346">
        <v>902</v>
      </c>
      <c r="C40" s="347" t="s">
        <v>133</v>
      </c>
      <c r="D40" s="347" t="s">
        <v>165</v>
      </c>
      <c r="E40" s="347" t="s">
        <v>904</v>
      </c>
      <c r="F40" s="347" t="s">
        <v>153</v>
      </c>
      <c r="G40" s="339">
        <f>219.3-144-0.3+100-29-5</f>
        <v>141</v>
      </c>
      <c r="H40" s="339">
        <v>139.072</v>
      </c>
      <c r="I40" s="321">
        <f t="shared" si="1"/>
        <v>98.632624113475174</v>
      </c>
    </row>
    <row r="41" spans="1:9" s="211" customFormat="1" ht="31.5" x14ac:dyDescent="0.25">
      <c r="A41" s="349" t="s">
        <v>884</v>
      </c>
      <c r="B41" s="346">
        <v>902</v>
      </c>
      <c r="C41" s="347" t="s">
        <v>133</v>
      </c>
      <c r="D41" s="347" t="s">
        <v>165</v>
      </c>
      <c r="E41" s="347" t="s">
        <v>905</v>
      </c>
      <c r="F41" s="347"/>
      <c r="G41" s="339">
        <f>G42</f>
        <v>2483.9</v>
      </c>
      <c r="H41" s="339">
        <f t="shared" ref="H41:H42" si="21">H42</f>
        <v>2483.8137000000002</v>
      </c>
      <c r="I41" s="321">
        <f t="shared" si="1"/>
        <v>99.996525625025171</v>
      </c>
    </row>
    <row r="42" spans="1:9" s="211" customFormat="1" ht="78.75" x14ac:dyDescent="0.25">
      <c r="A42" s="349" t="s">
        <v>142</v>
      </c>
      <c r="B42" s="346">
        <v>902</v>
      </c>
      <c r="C42" s="347" t="s">
        <v>133</v>
      </c>
      <c r="D42" s="347" t="s">
        <v>165</v>
      </c>
      <c r="E42" s="347" t="s">
        <v>905</v>
      </c>
      <c r="F42" s="347" t="s">
        <v>143</v>
      </c>
      <c r="G42" s="339">
        <f>G43</f>
        <v>2483.9</v>
      </c>
      <c r="H42" s="339">
        <f t="shared" si="21"/>
        <v>2483.8137000000002</v>
      </c>
      <c r="I42" s="321">
        <f t="shared" si="1"/>
        <v>99.996525625025171</v>
      </c>
    </row>
    <row r="43" spans="1:9" s="211" customFormat="1" ht="31.5" x14ac:dyDescent="0.25">
      <c r="A43" s="349" t="s">
        <v>144</v>
      </c>
      <c r="B43" s="346">
        <v>902</v>
      </c>
      <c r="C43" s="347" t="s">
        <v>133</v>
      </c>
      <c r="D43" s="347" t="s">
        <v>165</v>
      </c>
      <c r="E43" s="347" t="s">
        <v>905</v>
      </c>
      <c r="F43" s="347" t="s">
        <v>145</v>
      </c>
      <c r="G43" s="339">
        <f>2962+42.2-480-24.7-15.6</f>
        <v>2483.9</v>
      </c>
      <c r="H43" s="339">
        <v>2483.8137000000002</v>
      </c>
      <c r="I43" s="321">
        <f t="shared" si="1"/>
        <v>99.996525625025171</v>
      </c>
    </row>
    <row r="44" spans="1:9" s="211" customFormat="1" ht="31.5" x14ac:dyDescent="0.25">
      <c r="A44" s="349" t="s">
        <v>883</v>
      </c>
      <c r="B44" s="346">
        <v>902</v>
      </c>
      <c r="C44" s="347" t="s">
        <v>133</v>
      </c>
      <c r="D44" s="347" t="s">
        <v>165</v>
      </c>
      <c r="E44" s="347" t="s">
        <v>906</v>
      </c>
      <c r="F44" s="347"/>
      <c r="G44" s="321">
        <f>G45</f>
        <v>1767</v>
      </c>
      <c r="H44" s="321">
        <f t="shared" ref="H44:H45" si="22">H45</f>
        <v>1730.9821899999999</v>
      </c>
      <c r="I44" s="321">
        <f t="shared" si="1"/>
        <v>97.961640633842677</v>
      </c>
    </row>
    <row r="45" spans="1:9" s="211" customFormat="1" ht="78.75" x14ac:dyDescent="0.25">
      <c r="A45" s="349" t="s">
        <v>142</v>
      </c>
      <c r="B45" s="346">
        <v>902</v>
      </c>
      <c r="C45" s="347" t="s">
        <v>133</v>
      </c>
      <c r="D45" s="347" t="s">
        <v>165</v>
      </c>
      <c r="E45" s="347" t="s">
        <v>906</v>
      </c>
      <c r="F45" s="347" t="s">
        <v>143</v>
      </c>
      <c r="G45" s="321">
        <f>G46</f>
        <v>1767</v>
      </c>
      <c r="H45" s="321">
        <f t="shared" si="22"/>
        <v>1730.9821899999999</v>
      </c>
      <c r="I45" s="321">
        <f t="shared" si="1"/>
        <v>97.961640633842677</v>
      </c>
    </row>
    <row r="46" spans="1:9" s="211" customFormat="1" ht="31.5" x14ac:dyDescent="0.25">
      <c r="A46" s="349" t="s">
        <v>144</v>
      </c>
      <c r="B46" s="346">
        <v>902</v>
      </c>
      <c r="C46" s="347" t="s">
        <v>133</v>
      </c>
      <c r="D46" s="347" t="s">
        <v>165</v>
      </c>
      <c r="E46" s="347" t="s">
        <v>906</v>
      </c>
      <c r="F46" s="347" t="s">
        <v>145</v>
      </c>
      <c r="G46" s="321">
        <f>1554-191+404</f>
        <v>1767</v>
      </c>
      <c r="H46" s="321">
        <v>1730.9821899999999</v>
      </c>
      <c r="I46" s="321">
        <f t="shared" si="1"/>
        <v>97.961640633842677</v>
      </c>
    </row>
    <row r="47" spans="1:9" s="310" customFormat="1" ht="31.5" x14ac:dyDescent="0.25">
      <c r="A47" s="349" t="s">
        <v>1582</v>
      </c>
      <c r="B47" s="346">
        <v>902</v>
      </c>
      <c r="C47" s="347" t="s">
        <v>1583</v>
      </c>
      <c r="D47" s="347" t="s">
        <v>165</v>
      </c>
      <c r="E47" s="347" t="s">
        <v>1584</v>
      </c>
      <c r="F47" s="347"/>
      <c r="G47" s="321">
        <f>G48</f>
        <v>452.62779999999998</v>
      </c>
      <c r="H47" s="321">
        <f t="shared" ref="H47:H48" si="23">H48</f>
        <v>452.62779999999998</v>
      </c>
      <c r="I47" s="321">
        <f t="shared" si="1"/>
        <v>100</v>
      </c>
    </row>
    <row r="48" spans="1:9" s="310" customFormat="1" ht="78.75" x14ac:dyDescent="0.25">
      <c r="A48" s="349" t="s">
        <v>142</v>
      </c>
      <c r="B48" s="346">
        <v>902</v>
      </c>
      <c r="C48" s="347" t="s">
        <v>1583</v>
      </c>
      <c r="D48" s="347" t="s">
        <v>165</v>
      </c>
      <c r="E48" s="347" t="s">
        <v>1584</v>
      </c>
      <c r="F48" s="347" t="s">
        <v>143</v>
      </c>
      <c r="G48" s="321">
        <f>G49</f>
        <v>452.62779999999998</v>
      </c>
      <c r="H48" s="321">
        <f t="shared" si="23"/>
        <v>452.62779999999998</v>
      </c>
      <c r="I48" s="321">
        <f t="shared" si="1"/>
        <v>100</v>
      </c>
    </row>
    <row r="49" spans="1:9" s="310" customFormat="1" ht="31.5" x14ac:dyDescent="0.25">
      <c r="A49" s="349" t="s">
        <v>144</v>
      </c>
      <c r="B49" s="346">
        <v>902</v>
      </c>
      <c r="C49" s="347" t="s">
        <v>1583</v>
      </c>
      <c r="D49" s="347" t="s">
        <v>165</v>
      </c>
      <c r="E49" s="347" t="s">
        <v>1584</v>
      </c>
      <c r="F49" s="347" t="s">
        <v>145</v>
      </c>
      <c r="G49" s="321">
        <v>452.62779999999998</v>
      </c>
      <c r="H49" s="321">
        <v>452.62779999999998</v>
      </c>
      <c r="I49" s="321">
        <f t="shared" si="1"/>
        <v>100</v>
      </c>
    </row>
    <row r="50" spans="1:9" s="211" customFormat="1" ht="31.5" x14ac:dyDescent="0.25">
      <c r="A50" s="318" t="s">
        <v>930</v>
      </c>
      <c r="B50" s="315">
        <v>902</v>
      </c>
      <c r="C50" s="319" t="s">
        <v>133</v>
      </c>
      <c r="D50" s="319" t="s">
        <v>165</v>
      </c>
      <c r="E50" s="319" t="s">
        <v>907</v>
      </c>
      <c r="F50" s="319"/>
      <c r="G50" s="317">
        <f>G51+G65+G70+G75+G54+G59+G62</f>
        <v>3450.99</v>
      </c>
      <c r="H50" s="317">
        <f t="shared" ref="H50" si="24">H51+H65+H70+H75+H54+H59+H62</f>
        <v>3290.0691100000004</v>
      </c>
      <c r="I50" s="317">
        <f t="shared" si="1"/>
        <v>95.336964465269403</v>
      </c>
    </row>
    <row r="51" spans="1:9" s="211" customFormat="1" ht="47.65" customHeight="1" x14ac:dyDescent="0.25">
      <c r="A51" s="349" t="s">
        <v>800</v>
      </c>
      <c r="B51" s="346">
        <v>902</v>
      </c>
      <c r="C51" s="347" t="s">
        <v>133</v>
      </c>
      <c r="D51" s="347" t="s">
        <v>165</v>
      </c>
      <c r="E51" s="347" t="s">
        <v>990</v>
      </c>
      <c r="F51" s="319"/>
      <c r="G51" s="321">
        <f>G52</f>
        <v>6</v>
      </c>
      <c r="H51" s="321">
        <f t="shared" ref="H51:H52" si="25">H52</f>
        <v>0</v>
      </c>
      <c r="I51" s="321">
        <f t="shared" si="1"/>
        <v>0</v>
      </c>
    </row>
    <row r="52" spans="1:9" s="211" customFormat="1" ht="31.5" x14ac:dyDescent="0.25">
      <c r="A52" s="349" t="s">
        <v>146</v>
      </c>
      <c r="B52" s="346">
        <v>902</v>
      </c>
      <c r="C52" s="347" t="s">
        <v>133</v>
      </c>
      <c r="D52" s="347" t="s">
        <v>165</v>
      </c>
      <c r="E52" s="347" t="s">
        <v>990</v>
      </c>
      <c r="F52" s="347" t="s">
        <v>147</v>
      </c>
      <c r="G52" s="321">
        <f>G53</f>
        <v>6</v>
      </c>
      <c r="H52" s="321">
        <f t="shared" si="25"/>
        <v>0</v>
      </c>
      <c r="I52" s="321">
        <f t="shared" si="1"/>
        <v>0</v>
      </c>
    </row>
    <row r="53" spans="1:9" s="211" customFormat="1" ht="31.5" x14ac:dyDescent="0.25">
      <c r="A53" s="349" t="s">
        <v>148</v>
      </c>
      <c r="B53" s="346">
        <v>902</v>
      </c>
      <c r="C53" s="347" t="s">
        <v>133</v>
      </c>
      <c r="D53" s="347" t="s">
        <v>165</v>
      </c>
      <c r="E53" s="347" t="s">
        <v>990</v>
      </c>
      <c r="F53" s="347" t="s">
        <v>149</v>
      </c>
      <c r="G53" s="321">
        <v>6</v>
      </c>
      <c r="H53" s="321">
        <v>0</v>
      </c>
      <c r="I53" s="321">
        <f t="shared" si="1"/>
        <v>0</v>
      </c>
    </row>
    <row r="54" spans="1:9" s="211" customFormat="1" ht="47.25" x14ac:dyDescent="0.25">
      <c r="A54" s="31" t="s">
        <v>1408</v>
      </c>
      <c r="B54" s="346">
        <v>902</v>
      </c>
      <c r="C54" s="347" t="s">
        <v>133</v>
      </c>
      <c r="D54" s="347" t="s">
        <v>165</v>
      </c>
      <c r="E54" s="347" t="s">
        <v>1407</v>
      </c>
      <c r="F54" s="347"/>
      <c r="G54" s="321">
        <f>G55+G57</f>
        <v>92.6</v>
      </c>
      <c r="H54" s="321">
        <f t="shared" ref="H54" si="26">H55+H57</f>
        <v>0</v>
      </c>
      <c r="I54" s="321">
        <f t="shared" si="1"/>
        <v>0</v>
      </c>
    </row>
    <row r="55" spans="1:9" s="211" customFormat="1" ht="78.75" hidden="1" x14ac:dyDescent="0.25">
      <c r="A55" s="349" t="s">
        <v>142</v>
      </c>
      <c r="B55" s="346">
        <v>902</v>
      </c>
      <c r="C55" s="347" t="s">
        <v>133</v>
      </c>
      <c r="D55" s="347" t="s">
        <v>165</v>
      </c>
      <c r="E55" s="347" t="s">
        <v>1407</v>
      </c>
      <c r="F55" s="347" t="s">
        <v>143</v>
      </c>
      <c r="G55" s="321">
        <f>G56</f>
        <v>0</v>
      </c>
      <c r="H55" s="321">
        <f t="shared" ref="H55" si="27">H56</f>
        <v>0</v>
      </c>
      <c r="I55" s="321" t="e">
        <f t="shared" si="1"/>
        <v>#DIV/0!</v>
      </c>
    </row>
    <row r="56" spans="1:9" s="211" customFormat="1" ht="31.5" hidden="1" x14ac:dyDescent="0.25">
      <c r="A56" s="349" t="s">
        <v>144</v>
      </c>
      <c r="B56" s="346">
        <v>902</v>
      </c>
      <c r="C56" s="347" t="s">
        <v>133</v>
      </c>
      <c r="D56" s="347" t="s">
        <v>165</v>
      </c>
      <c r="E56" s="347" t="s">
        <v>1407</v>
      </c>
      <c r="F56" s="347" t="s">
        <v>145</v>
      </c>
      <c r="G56" s="321">
        <f>92.6-92.6</f>
        <v>0</v>
      </c>
      <c r="H56" s="321">
        <f t="shared" ref="H56" si="28">92.6-92.6</f>
        <v>0</v>
      </c>
      <c r="I56" s="321" t="e">
        <f t="shared" si="1"/>
        <v>#DIV/0!</v>
      </c>
    </row>
    <row r="57" spans="1:9" s="310" customFormat="1" ht="31.5" x14ac:dyDescent="0.25">
      <c r="A57" s="349" t="s">
        <v>146</v>
      </c>
      <c r="B57" s="346">
        <v>902</v>
      </c>
      <c r="C57" s="347" t="s">
        <v>133</v>
      </c>
      <c r="D57" s="347" t="s">
        <v>165</v>
      </c>
      <c r="E57" s="347" t="s">
        <v>1407</v>
      </c>
      <c r="F57" s="347" t="s">
        <v>147</v>
      </c>
      <c r="G57" s="321">
        <f>G58</f>
        <v>92.6</v>
      </c>
      <c r="H57" s="321">
        <f t="shared" ref="H57" si="29">H58</f>
        <v>0</v>
      </c>
      <c r="I57" s="321">
        <f t="shared" si="1"/>
        <v>0</v>
      </c>
    </row>
    <row r="58" spans="1:9" s="310" customFormat="1" ht="31.5" x14ac:dyDescent="0.25">
      <c r="A58" s="349" t="s">
        <v>148</v>
      </c>
      <c r="B58" s="346">
        <v>902</v>
      </c>
      <c r="C58" s="347" t="s">
        <v>133</v>
      </c>
      <c r="D58" s="347" t="s">
        <v>165</v>
      </c>
      <c r="E58" s="347" t="s">
        <v>1407</v>
      </c>
      <c r="F58" s="347" t="s">
        <v>149</v>
      </c>
      <c r="G58" s="321">
        <v>92.6</v>
      </c>
      <c r="H58" s="321">
        <v>0</v>
      </c>
      <c r="I58" s="321">
        <f t="shared" si="1"/>
        <v>0</v>
      </c>
    </row>
    <row r="59" spans="1:9" s="310" customFormat="1" ht="31.5" hidden="1" x14ac:dyDescent="0.25">
      <c r="A59" s="349" t="s">
        <v>1582</v>
      </c>
      <c r="B59" s="346">
        <v>902</v>
      </c>
      <c r="C59" s="347" t="s">
        <v>133</v>
      </c>
      <c r="D59" s="347" t="s">
        <v>165</v>
      </c>
      <c r="E59" s="347" t="s">
        <v>1585</v>
      </c>
      <c r="F59" s="347"/>
      <c r="G59" s="321">
        <f>G60</f>
        <v>0</v>
      </c>
      <c r="H59" s="321">
        <f t="shared" ref="H59:H60" si="30">H60</f>
        <v>0</v>
      </c>
      <c r="I59" s="321" t="e">
        <f t="shared" si="1"/>
        <v>#DIV/0!</v>
      </c>
    </row>
    <row r="60" spans="1:9" s="310" customFormat="1" ht="78.75" hidden="1" x14ac:dyDescent="0.25">
      <c r="A60" s="349" t="s">
        <v>142</v>
      </c>
      <c r="B60" s="346">
        <v>902</v>
      </c>
      <c r="C60" s="347" t="s">
        <v>133</v>
      </c>
      <c r="D60" s="347" t="s">
        <v>165</v>
      </c>
      <c r="E60" s="347" t="s">
        <v>1585</v>
      </c>
      <c r="F60" s="347" t="s">
        <v>143</v>
      </c>
      <c r="G60" s="321">
        <f>G61</f>
        <v>0</v>
      </c>
      <c r="H60" s="321">
        <f t="shared" si="30"/>
        <v>0</v>
      </c>
      <c r="I60" s="321" t="e">
        <f t="shared" si="1"/>
        <v>#DIV/0!</v>
      </c>
    </row>
    <row r="61" spans="1:9" s="310" customFormat="1" ht="31.5" hidden="1" x14ac:dyDescent="0.25">
      <c r="A61" s="349" t="s">
        <v>144</v>
      </c>
      <c r="B61" s="346">
        <v>902</v>
      </c>
      <c r="C61" s="347" t="s">
        <v>133</v>
      </c>
      <c r="D61" s="347" t="s">
        <v>165</v>
      </c>
      <c r="E61" s="347" t="s">
        <v>1585</v>
      </c>
      <c r="F61" s="347" t="s">
        <v>145</v>
      </c>
      <c r="G61" s="321"/>
      <c r="H61" s="321"/>
      <c r="I61" s="321" t="e">
        <f t="shared" si="1"/>
        <v>#DIV/0!</v>
      </c>
    </row>
    <row r="62" spans="1:9" s="310" customFormat="1" ht="47.25" x14ac:dyDescent="0.25">
      <c r="A62" s="31" t="s">
        <v>1588</v>
      </c>
      <c r="B62" s="346">
        <v>902</v>
      </c>
      <c r="C62" s="347" t="s">
        <v>133</v>
      </c>
      <c r="D62" s="347" t="s">
        <v>165</v>
      </c>
      <c r="E62" s="347" t="s">
        <v>1589</v>
      </c>
      <c r="F62" s="347"/>
      <c r="G62" s="321">
        <f>G63</f>
        <v>175.99</v>
      </c>
      <c r="H62" s="321">
        <f t="shared" ref="H62:H63" si="31">H63</f>
        <v>175.99</v>
      </c>
      <c r="I62" s="321">
        <f t="shared" si="1"/>
        <v>100</v>
      </c>
    </row>
    <row r="63" spans="1:9" s="310" customFormat="1" ht="78.75" x14ac:dyDescent="0.25">
      <c r="A63" s="349" t="s">
        <v>142</v>
      </c>
      <c r="B63" s="346">
        <v>902</v>
      </c>
      <c r="C63" s="347" t="s">
        <v>133</v>
      </c>
      <c r="D63" s="347" t="s">
        <v>165</v>
      </c>
      <c r="E63" s="347" t="s">
        <v>1589</v>
      </c>
      <c r="F63" s="347" t="s">
        <v>143</v>
      </c>
      <c r="G63" s="321">
        <f>G64</f>
        <v>175.99</v>
      </c>
      <c r="H63" s="321">
        <f t="shared" si="31"/>
        <v>175.99</v>
      </c>
      <c r="I63" s="321">
        <f t="shared" si="1"/>
        <v>100</v>
      </c>
    </row>
    <row r="64" spans="1:9" s="310" customFormat="1" ht="31.5" x14ac:dyDescent="0.25">
      <c r="A64" s="349" t="s">
        <v>144</v>
      </c>
      <c r="B64" s="346">
        <v>902</v>
      </c>
      <c r="C64" s="347" t="s">
        <v>133</v>
      </c>
      <c r="D64" s="347" t="s">
        <v>165</v>
      </c>
      <c r="E64" s="347" t="s">
        <v>1589</v>
      </c>
      <c r="F64" s="347" t="s">
        <v>145</v>
      </c>
      <c r="G64" s="321">
        <v>175.99</v>
      </c>
      <c r="H64" s="321">
        <v>175.99</v>
      </c>
      <c r="I64" s="321">
        <f t="shared" si="1"/>
        <v>100</v>
      </c>
    </row>
    <row r="65" spans="1:9" s="211" customFormat="1" ht="47.25" x14ac:dyDescent="0.25">
      <c r="A65" s="31" t="s">
        <v>204</v>
      </c>
      <c r="B65" s="346">
        <v>902</v>
      </c>
      <c r="C65" s="347" t="s">
        <v>133</v>
      </c>
      <c r="D65" s="347" t="s">
        <v>165</v>
      </c>
      <c r="E65" s="347" t="s">
        <v>991</v>
      </c>
      <c r="F65" s="347"/>
      <c r="G65" s="321">
        <f>G66+G68</f>
        <v>627.20000000000005</v>
      </c>
      <c r="H65" s="321">
        <f t="shared" ref="H65" si="32">H66+H68</f>
        <v>625.20083</v>
      </c>
      <c r="I65" s="321">
        <f t="shared" si="1"/>
        <v>99.681254783163254</v>
      </c>
    </row>
    <row r="66" spans="1:9" s="211" customFormat="1" ht="78.75" x14ac:dyDescent="0.25">
      <c r="A66" s="349" t="s">
        <v>142</v>
      </c>
      <c r="B66" s="346">
        <v>902</v>
      </c>
      <c r="C66" s="347" t="s">
        <v>133</v>
      </c>
      <c r="D66" s="347" t="s">
        <v>165</v>
      </c>
      <c r="E66" s="347" t="s">
        <v>991</v>
      </c>
      <c r="F66" s="347" t="s">
        <v>143</v>
      </c>
      <c r="G66" s="321">
        <f>G67</f>
        <v>627.20000000000005</v>
      </c>
      <c r="H66" s="321">
        <f t="shared" ref="H66" si="33">H67</f>
        <v>625.20083</v>
      </c>
      <c r="I66" s="321">
        <f t="shared" si="1"/>
        <v>99.681254783163254</v>
      </c>
    </row>
    <row r="67" spans="1:9" s="211" customFormat="1" ht="31.5" x14ac:dyDescent="0.25">
      <c r="A67" s="349" t="s">
        <v>144</v>
      </c>
      <c r="B67" s="346">
        <v>902</v>
      </c>
      <c r="C67" s="347" t="s">
        <v>133</v>
      </c>
      <c r="D67" s="347" t="s">
        <v>165</v>
      </c>
      <c r="E67" s="347" t="s">
        <v>991</v>
      </c>
      <c r="F67" s="347" t="s">
        <v>145</v>
      </c>
      <c r="G67" s="321">
        <f>715.9-223+10.3+25.5+76.1+22.4</f>
        <v>627.20000000000005</v>
      </c>
      <c r="H67" s="321">
        <v>625.20083</v>
      </c>
      <c r="I67" s="321">
        <f t="shared" si="1"/>
        <v>99.681254783163254</v>
      </c>
    </row>
    <row r="68" spans="1:9" s="211" customFormat="1" ht="31.5" hidden="1" x14ac:dyDescent="0.25">
      <c r="A68" s="349" t="s">
        <v>146</v>
      </c>
      <c r="B68" s="346">
        <v>902</v>
      </c>
      <c r="C68" s="347" t="s">
        <v>133</v>
      </c>
      <c r="D68" s="347" t="s">
        <v>165</v>
      </c>
      <c r="E68" s="347" t="s">
        <v>991</v>
      </c>
      <c r="F68" s="347" t="s">
        <v>147</v>
      </c>
      <c r="G68" s="321">
        <f>G69</f>
        <v>0</v>
      </c>
      <c r="H68" s="321">
        <f t="shared" ref="H68" si="34">H69</f>
        <v>0</v>
      </c>
      <c r="I68" s="321" t="e">
        <f t="shared" si="1"/>
        <v>#DIV/0!</v>
      </c>
    </row>
    <row r="69" spans="1:9" s="211" customFormat="1" ht="31.5" hidden="1" x14ac:dyDescent="0.25">
      <c r="A69" s="349" t="s">
        <v>148</v>
      </c>
      <c r="B69" s="346">
        <v>902</v>
      </c>
      <c r="C69" s="347" t="s">
        <v>133</v>
      </c>
      <c r="D69" s="347" t="s">
        <v>165</v>
      </c>
      <c r="E69" s="347" t="s">
        <v>991</v>
      </c>
      <c r="F69" s="347" t="s">
        <v>149</v>
      </c>
      <c r="G69" s="321">
        <f>76.1-76.1</f>
        <v>0</v>
      </c>
      <c r="H69" s="321">
        <f t="shared" ref="H69" si="35">76.1-76.1</f>
        <v>0</v>
      </c>
      <c r="I69" s="321" t="e">
        <f t="shared" si="1"/>
        <v>#DIV/0!</v>
      </c>
    </row>
    <row r="70" spans="1:9" s="211" customFormat="1" ht="47.25" x14ac:dyDescent="0.25">
      <c r="A70" s="31" t="s">
        <v>209</v>
      </c>
      <c r="B70" s="346">
        <v>902</v>
      </c>
      <c r="C70" s="347" t="s">
        <v>133</v>
      </c>
      <c r="D70" s="347" t="s">
        <v>165</v>
      </c>
      <c r="E70" s="347" t="s">
        <v>1193</v>
      </c>
      <c r="F70" s="347"/>
      <c r="G70" s="321">
        <f>G71+G73</f>
        <v>1433.3</v>
      </c>
      <c r="H70" s="321">
        <f t="shared" ref="H70" si="36">H71+H73</f>
        <v>1424.9866100000002</v>
      </c>
      <c r="I70" s="321">
        <f t="shared" si="1"/>
        <v>99.419982557733917</v>
      </c>
    </row>
    <row r="71" spans="1:9" s="211" customFormat="1" ht="78.75" x14ac:dyDescent="0.25">
      <c r="A71" s="349" t="s">
        <v>142</v>
      </c>
      <c r="B71" s="346">
        <v>902</v>
      </c>
      <c r="C71" s="347" t="s">
        <v>133</v>
      </c>
      <c r="D71" s="347" t="s">
        <v>165</v>
      </c>
      <c r="E71" s="347" t="s">
        <v>1193</v>
      </c>
      <c r="F71" s="347" t="s">
        <v>143</v>
      </c>
      <c r="G71" s="321">
        <f>G72</f>
        <v>1372.1</v>
      </c>
      <c r="H71" s="321">
        <f t="shared" ref="H71" si="37">H72</f>
        <v>1360.8277</v>
      </c>
      <c r="I71" s="321">
        <f t="shared" si="1"/>
        <v>99.178463668828812</v>
      </c>
    </row>
    <row r="72" spans="1:9" s="211" customFormat="1" ht="31.5" x14ac:dyDescent="0.25">
      <c r="A72" s="349" t="s">
        <v>144</v>
      </c>
      <c r="B72" s="346">
        <v>902</v>
      </c>
      <c r="C72" s="347" t="s">
        <v>133</v>
      </c>
      <c r="D72" s="347" t="s">
        <v>165</v>
      </c>
      <c r="E72" s="347" t="s">
        <v>1193</v>
      </c>
      <c r="F72" s="347" t="s">
        <v>145</v>
      </c>
      <c r="G72" s="321">
        <f>1333.1-39.7-21.5+100.2</f>
        <v>1372.1</v>
      </c>
      <c r="H72" s="321">
        <v>1360.8277</v>
      </c>
      <c r="I72" s="321">
        <f t="shared" si="1"/>
        <v>99.178463668828812</v>
      </c>
    </row>
    <row r="73" spans="1:9" s="211" customFormat="1" ht="31.5" x14ac:dyDescent="0.25">
      <c r="A73" s="349" t="s">
        <v>146</v>
      </c>
      <c r="B73" s="346">
        <v>902</v>
      </c>
      <c r="C73" s="347" t="s">
        <v>133</v>
      </c>
      <c r="D73" s="347" t="s">
        <v>165</v>
      </c>
      <c r="E73" s="347" t="s">
        <v>1193</v>
      </c>
      <c r="F73" s="347" t="s">
        <v>147</v>
      </c>
      <c r="G73" s="321">
        <f>G74</f>
        <v>61.2</v>
      </c>
      <c r="H73" s="321">
        <f t="shared" ref="H73" si="38">H74</f>
        <v>64.158910000000006</v>
      </c>
      <c r="I73" s="321">
        <f t="shared" ref="I73:I136" si="39">H73/G73*100</f>
        <v>104.83482026143791</v>
      </c>
    </row>
    <row r="74" spans="1:9" s="211" customFormat="1" ht="31.5" x14ac:dyDescent="0.25">
      <c r="A74" s="349" t="s">
        <v>148</v>
      </c>
      <c r="B74" s="346">
        <v>902</v>
      </c>
      <c r="C74" s="347" t="s">
        <v>133</v>
      </c>
      <c r="D74" s="347" t="s">
        <v>165</v>
      </c>
      <c r="E74" s="347" t="s">
        <v>1193</v>
      </c>
      <c r="F74" s="347" t="s">
        <v>149</v>
      </c>
      <c r="G74" s="321">
        <f>156.9-116.5-0.7+21.5</f>
        <v>61.2</v>
      </c>
      <c r="H74" s="321">
        <v>64.158910000000006</v>
      </c>
      <c r="I74" s="321">
        <f t="shared" si="39"/>
        <v>104.83482026143791</v>
      </c>
    </row>
    <row r="75" spans="1:9" s="211" customFormat="1" ht="47.25" x14ac:dyDescent="0.25">
      <c r="A75" s="31" t="s">
        <v>211</v>
      </c>
      <c r="B75" s="346">
        <v>902</v>
      </c>
      <c r="C75" s="347" t="s">
        <v>133</v>
      </c>
      <c r="D75" s="347" t="s">
        <v>165</v>
      </c>
      <c r="E75" s="347" t="s">
        <v>992</v>
      </c>
      <c r="F75" s="347"/>
      <c r="G75" s="321">
        <f>G76+G78</f>
        <v>1115.9000000000001</v>
      </c>
      <c r="H75" s="321">
        <f t="shared" ref="H75" si="40">H76+H78</f>
        <v>1063.89167</v>
      </c>
      <c r="I75" s="321">
        <f t="shared" si="39"/>
        <v>95.339337754279057</v>
      </c>
    </row>
    <row r="76" spans="1:9" s="211" customFormat="1" ht="78.75" x14ac:dyDescent="0.25">
      <c r="A76" s="349" t="s">
        <v>142</v>
      </c>
      <c r="B76" s="346">
        <v>902</v>
      </c>
      <c r="C76" s="347" t="s">
        <v>133</v>
      </c>
      <c r="D76" s="347" t="s">
        <v>165</v>
      </c>
      <c r="E76" s="347" t="s">
        <v>992</v>
      </c>
      <c r="F76" s="347" t="s">
        <v>143</v>
      </c>
      <c r="G76" s="321">
        <f>G77</f>
        <v>1081.9000000000001</v>
      </c>
      <c r="H76" s="321">
        <f t="shared" ref="H76" si="41">H77</f>
        <v>1041.9000000000001</v>
      </c>
      <c r="I76" s="321">
        <f t="shared" si="39"/>
        <v>96.302800628523883</v>
      </c>
    </row>
    <row r="77" spans="1:9" s="211" customFormat="1" ht="31.5" x14ac:dyDescent="0.25">
      <c r="A77" s="349" t="s">
        <v>144</v>
      </c>
      <c r="B77" s="346">
        <v>902</v>
      </c>
      <c r="C77" s="347" t="s">
        <v>133</v>
      </c>
      <c r="D77" s="347" t="s">
        <v>165</v>
      </c>
      <c r="E77" s="347" t="s">
        <v>992</v>
      </c>
      <c r="F77" s="347" t="s">
        <v>145</v>
      </c>
      <c r="G77" s="321">
        <f>1026.5+55.4</f>
        <v>1081.9000000000001</v>
      </c>
      <c r="H77" s="321">
        <v>1041.9000000000001</v>
      </c>
      <c r="I77" s="321">
        <f t="shared" si="39"/>
        <v>96.302800628523883</v>
      </c>
    </row>
    <row r="78" spans="1:9" s="211" customFormat="1" ht="31.5" x14ac:dyDescent="0.25">
      <c r="A78" s="349" t="s">
        <v>213</v>
      </c>
      <c r="B78" s="346">
        <v>902</v>
      </c>
      <c r="C78" s="347" t="s">
        <v>133</v>
      </c>
      <c r="D78" s="347" t="s">
        <v>165</v>
      </c>
      <c r="E78" s="347" t="s">
        <v>992</v>
      </c>
      <c r="F78" s="347" t="s">
        <v>147</v>
      </c>
      <c r="G78" s="321">
        <f>G79</f>
        <v>34.000000000000007</v>
      </c>
      <c r="H78" s="321">
        <f t="shared" ref="H78" si="42">H79</f>
        <v>21.991669999999999</v>
      </c>
      <c r="I78" s="321">
        <f t="shared" si="39"/>
        <v>64.681382352941171</v>
      </c>
    </row>
    <row r="79" spans="1:9" s="211" customFormat="1" ht="31.5" x14ac:dyDescent="0.25">
      <c r="A79" s="349" t="s">
        <v>148</v>
      </c>
      <c r="B79" s="346">
        <v>902</v>
      </c>
      <c r="C79" s="347" t="s">
        <v>133</v>
      </c>
      <c r="D79" s="347" t="s">
        <v>165</v>
      </c>
      <c r="E79" s="347" t="s">
        <v>992</v>
      </c>
      <c r="F79" s="347" t="s">
        <v>149</v>
      </c>
      <c r="G79" s="321">
        <f>89.4-55.4</f>
        <v>34.000000000000007</v>
      </c>
      <c r="H79" s="321">
        <v>21.991669999999999</v>
      </c>
      <c r="I79" s="321">
        <f t="shared" si="39"/>
        <v>64.681382352941171</v>
      </c>
    </row>
    <row r="80" spans="1:9" s="211" customFormat="1" ht="47.25" x14ac:dyDescent="0.25">
      <c r="A80" s="318" t="s">
        <v>818</v>
      </c>
      <c r="B80" s="315">
        <v>902</v>
      </c>
      <c r="C80" s="319" t="s">
        <v>133</v>
      </c>
      <c r="D80" s="319" t="s">
        <v>165</v>
      </c>
      <c r="E80" s="319" t="s">
        <v>177</v>
      </c>
      <c r="F80" s="319"/>
      <c r="G80" s="317">
        <f>G81+G85+G91</f>
        <v>578</v>
      </c>
      <c r="H80" s="317">
        <f t="shared" ref="H80" si="43">H81+H85+H91</f>
        <v>565.49354000000005</v>
      </c>
      <c r="I80" s="317">
        <f t="shared" si="39"/>
        <v>97.836252595155713</v>
      </c>
    </row>
    <row r="81" spans="1:9" s="211" customFormat="1" ht="47.25" x14ac:dyDescent="0.25">
      <c r="A81" s="226" t="s">
        <v>1153</v>
      </c>
      <c r="B81" s="315">
        <v>902</v>
      </c>
      <c r="C81" s="319" t="s">
        <v>133</v>
      </c>
      <c r="D81" s="319" t="s">
        <v>165</v>
      </c>
      <c r="E81" s="312" t="s">
        <v>893</v>
      </c>
      <c r="F81" s="319"/>
      <c r="G81" s="317">
        <f>G82</f>
        <v>534</v>
      </c>
      <c r="H81" s="317">
        <f t="shared" ref="H81:H83" si="44">H82</f>
        <v>523.28354000000002</v>
      </c>
      <c r="I81" s="317">
        <f t="shared" si="39"/>
        <v>97.993172284644203</v>
      </c>
    </row>
    <row r="82" spans="1:9" s="211" customFormat="1" ht="31.5" x14ac:dyDescent="0.25">
      <c r="A82" s="323" t="s">
        <v>1152</v>
      </c>
      <c r="B82" s="346">
        <v>902</v>
      </c>
      <c r="C82" s="347" t="s">
        <v>133</v>
      </c>
      <c r="D82" s="347" t="s">
        <v>165</v>
      </c>
      <c r="E82" s="324" t="s">
        <v>885</v>
      </c>
      <c r="F82" s="347"/>
      <c r="G82" s="321">
        <f>G83</f>
        <v>534</v>
      </c>
      <c r="H82" s="321">
        <f t="shared" si="44"/>
        <v>523.28354000000002</v>
      </c>
      <c r="I82" s="321">
        <f t="shared" si="39"/>
        <v>97.993172284644203</v>
      </c>
    </row>
    <row r="83" spans="1:9" s="211" customFormat="1" ht="31.5" x14ac:dyDescent="0.25">
      <c r="A83" s="349" t="s">
        <v>146</v>
      </c>
      <c r="B83" s="346">
        <v>902</v>
      </c>
      <c r="C83" s="347" t="s">
        <v>133</v>
      </c>
      <c r="D83" s="347" t="s">
        <v>165</v>
      </c>
      <c r="E83" s="324" t="s">
        <v>885</v>
      </c>
      <c r="F83" s="347" t="s">
        <v>147</v>
      </c>
      <c r="G83" s="321">
        <f>G84</f>
        <v>534</v>
      </c>
      <c r="H83" s="321">
        <f t="shared" si="44"/>
        <v>523.28354000000002</v>
      </c>
      <c r="I83" s="321">
        <f t="shared" si="39"/>
        <v>97.993172284644203</v>
      </c>
    </row>
    <row r="84" spans="1:9" s="211" customFormat="1" ht="31.5" x14ac:dyDescent="0.25">
      <c r="A84" s="349" t="s">
        <v>148</v>
      </c>
      <c r="B84" s="346">
        <v>902</v>
      </c>
      <c r="C84" s="347" t="s">
        <v>133</v>
      </c>
      <c r="D84" s="347" t="s">
        <v>165</v>
      </c>
      <c r="E84" s="324" t="s">
        <v>885</v>
      </c>
      <c r="F84" s="347" t="s">
        <v>149</v>
      </c>
      <c r="G84" s="321">
        <f>446+88</f>
        <v>534</v>
      </c>
      <c r="H84" s="321">
        <v>523.28354000000002</v>
      </c>
      <c r="I84" s="321">
        <f t="shared" si="39"/>
        <v>97.993172284644203</v>
      </c>
    </row>
    <row r="85" spans="1:9" s="211" customFormat="1" ht="63" x14ac:dyDescent="0.25">
      <c r="A85" s="225" t="s">
        <v>887</v>
      </c>
      <c r="B85" s="315">
        <v>902</v>
      </c>
      <c r="C85" s="319" t="s">
        <v>133</v>
      </c>
      <c r="D85" s="319" t="s">
        <v>165</v>
      </c>
      <c r="E85" s="312" t="s">
        <v>894</v>
      </c>
      <c r="F85" s="319"/>
      <c r="G85" s="317">
        <f>G86</f>
        <v>43.5</v>
      </c>
      <c r="H85" s="317">
        <f t="shared" ref="H85" si="45">H86</f>
        <v>42.21</v>
      </c>
      <c r="I85" s="317">
        <f t="shared" si="39"/>
        <v>97.034482758620683</v>
      </c>
    </row>
    <row r="86" spans="1:9" s="211" customFormat="1" ht="47.25" x14ac:dyDescent="0.25">
      <c r="A86" s="178" t="s">
        <v>180</v>
      </c>
      <c r="B86" s="346">
        <v>902</v>
      </c>
      <c r="C86" s="347" t="s">
        <v>133</v>
      </c>
      <c r="D86" s="347" t="s">
        <v>165</v>
      </c>
      <c r="E86" s="324" t="s">
        <v>886</v>
      </c>
      <c r="F86" s="347"/>
      <c r="G86" s="321">
        <f>G87+G89</f>
        <v>43.5</v>
      </c>
      <c r="H86" s="321">
        <f t="shared" ref="H86" si="46">H87+H89</f>
        <v>42.21</v>
      </c>
      <c r="I86" s="321">
        <f t="shared" si="39"/>
        <v>97.034482758620683</v>
      </c>
    </row>
    <row r="87" spans="1:9" s="211" customFormat="1" ht="78.75" x14ac:dyDescent="0.25">
      <c r="A87" s="349" t="s">
        <v>142</v>
      </c>
      <c r="B87" s="346">
        <v>902</v>
      </c>
      <c r="C87" s="347" t="s">
        <v>133</v>
      </c>
      <c r="D87" s="347" t="s">
        <v>165</v>
      </c>
      <c r="E87" s="324" t="s">
        <v>886</v>
      </c>
      <c r="F87" s="347" t="s">
        <v>143</v>
      </c>
      <c r="G87" s="321">
        <f>G88</f>
        <v>25</v>
      </c>
      <c r="H87" s="321">
        <f t="shared" ref="H87" si="47">H88</f>
        <v>23.96</v>
      </c>
      <c r="I87" s="321">
        <f t="shared" si="39"/>
        <v>95.84</v>
      </c>
    </row>
    <row r="88" spans="1:9" s="211" customFormat="1" ht="31.5" x14ac:dyDescent="0.25">
      <c r="A88" s="349" t="s">
        <v>144</v>
      </c>
      <c r="B88" s="346">
        <v>902</v>
      </c>
      <c r="C88" s="347" t="s">
        <v>133</v>
      </c>
      <c r="D88" s="347" t="s">
        <v>165</v>
      </c>
      <c r="E88" s="324" t="s">
        <v>886</v>
      </c>
      <c r="F88" s="347" t="s">
        <v>145</v>
      </c>
      <c r="G88" s="321">
        <f>37-12</f>
        <v>25</v>
      </c>
      <c r="H88" s="321">
        <v>23.96</v>
      </c>
      <c r="I88" s="321">
        <f t="shared" si="39"/>
        <v>95.84</v>
      </c>
    </row>
    <row r="89" spans="1:9" s="211" customFormat="1" ht="31.5" x14ac:dyDescent="0.25">
      <c r="A89" s="349" t="s">
        <v>146</v>
      </c>
      <c r="B89" s="346">
        <v>902</v>
      </c>
      <c r="C89" s="347" t="s">
        <v>133</v>
      </c>
      <c r="D89" s="347" t="s">
        <v>165</v>
      </c>
      <c r="E89" s="324" t="s">
        <v>886</v>
      </c>
      <c r="F89" s="347" t="s">
        <v>147</v>
      </c>
      <c r="G89" s="321">
        <f>G90</f>
        <v>18.5</v>
      </c>
      <c r="H89" s="321">
        <f t="shared" ref="H89" si="48">H90</f>
        <v>18.25</v>
      </c>
      <c r="I89" s="321">
        <f t="shared" si="39"/>
        <v>98.648648648648646</v>
      </c>
    </row>
    <row r="90" spans="1:9" s="211" customFormat="1" ht="31.5" x14ac:dyDescent="0.25">
      <c r="A90" s="349" t="s">
        <v>148</v>
      </c>
      <c r="B90" s="346">
        <v>902</v>
      </c>
      <c r="C90" s="347" t="s">
        <v>133</v>
      </c>
      <c r="D90" s="347" t="s">
        <v>165</v>
      </c>
      <c r="E90" s="324" t="s">
        <v>886</v>
      </c>
      <c r="F90" s="347" t="s">
        <v>149</v>
      </c>
      <c r="G90" s="321">
        <f>40-0.5-21</f>
        <v>18.5</v>
      </c>
      <c r="H90" s="321">
        <v>18.25</v>
      </c>
      <c r="I90" s="321">
        <f t="shared" si="39"/>
        <v>98.648648648648646</v>
      </c>
    </row>
    <row r="91" spans="1:9" s="211" customFormat="1" ht="51" customHeight="1" x14ac:dyDescent="0.25">
      <c r="A91" s="227" t="s">
        <v>1154</v>
      </c>
      <c r="B91" s="315">
        <v>902</v>
      </c>
      <c r="C91" s="319" t="s">
        <v>133</v>
      </c>
      <c r="D91" s="319" t="s">
        <v>165</v>
      </c>
      <c r="E91" s="312" t="s">
        <v>895</v>
      </c>
      <c r="F91" s="319"/>
      <c r="G91" s="317">
        <f>G92+G95</f>
        <v>0.5</v>
      </c>
      <c r="H91" s="317">
        <f t="shared" ref="H91" si="49">H92+H95</f>
        <v>0</v>
      </c>
      <c r="I91" s="317">
        <f t="shared" si="39"/>
        <v>0</v>
      </c>
    </row>
    <row r="92" spans="1:9" s="211" customFormat="1" ht="31.5" x14ac:dyDescent="0.25">
      <c r="A92" s="33" t="s">
        <v>1291</v>
      </c>
      <c r="B92" s="346">
        <v>902</v>
      </c>
      <c r="C92" s="347" t="s">
        <v>133</v>
      </c>
      <c r="D92" s="347" t="s">
        <v>165</v>
      </c>
      <c r="E92" s="324" t="s">
        <v>888</v>
      </c>
      <c r="F92" s="347"/>
      <c r="G92" s="321">
        <f>G93</f>
        <v>0.5</v>
      </c>
      <c r="H92" s="321">
        <f t="shared" ref="H92:H93" si="50">H93</f>
        <v>0</v>
      </c>
      <c r="I92" s="321">
        <f t="shared" si="39"/>
        <v>0</v>
      </c>
    </row>
    <row r="93" spans="1:9" s="211" customFormat="1" ht="31.5" x14ac:dyDescent="0.25">
      <c r="A93" s="349" t="s">
        <v>146</v>
      </c>
      <c r="B93" s="346">
        <v>902</v>
      </c>
      <c r="C93" s="347" t="s">
        <v>133</v>
      </c>
      <c r="D93" s="347" t="s">
        <v>165</v>
      </c>
      <c r="E93" s="324" t="s">
        <v>888</v>
      </c>
      <c r="F93" s="347" t="s">
        <v>147</v>
      </c>
      <c r="G93" s="321">
        <f>G94</f>
        <v>0.5</v>
      </c>
      <c r="H93" s="321">
        <f t="shared" si="50"/>
        <v>0</v>
      </c>
      <c r="I93" s="321">
        <f t="shared" si="39"/>
        <v>0</v>
      </c>
    </row>
    <row r="94" spans="1:9" s="211" customFormat="1" ht="31.5" x14ac:dyDescent="0.25">
      <c r="A94" s="349" t="s">
        <v>148</v>
      </c>
      <c r="B94" s="346">
        <v>902</v>
      </c>
      <c r="C94" s="347" t="s">
        <v>133</v>
      </c>
      <c r="D94" s="347" t="s">
        <v>165</v>
      </c>
      <c r="E94" s="324" t="s">
        <v>888</v>
      </c>
      <c r="F94" s="347" t="s">
        <v>149</v>
      </c>
      <c r="G94" s="321">
        <v>0.5</v>
      </c>
      <c r="H94" s="321">
        <v>0</v>
      </c>
      <c r="I94" s="321">
        <f t="shared" si="39"/>
        <v>0</v>
      </c>
    </row>
    <row r="95" spans="1:9" s="211" customFormat="1" ht="31.5" hidden="1" x14ac:dyDescent="0.25">
      <c r="A95" s="33" t="s">
        <v>206</v>
      </c>
      <c r="B95" s="346">
        <v>902</v>
      </c>
      <c r="C95" s="347" t="s">
        <v>133</v>
      </c>
      <c r="D95" s="347" t="s">
        <v>165</v>
      </c>
      <c r="E95" s="347" t="s">
        <v>889</v>
      </c>
      <c r="F95" s="347"/>
      <c r="G95" s="321">
        <f>G96</f>
        <v>0</v>
      </c>
      <c r="H95" s="321">
        <f t="shared" ref="H95:H96" si="51">H96</f>
        <v>0</v>
      </c>
      <c r="I95" s="321" t="e">
        <f t="shared" si="39"/>
        <v>#DIV/0!</v>
      </c>
    </row>
    <row r="96" spans="1:9" s="211" customFormat="1" ht="31.5" hidden="1" x14ac:dyDescent="0.25">
      <c r="A96" s="349" t="s">
        <v>146</v>
      </c>
      <c r="B96" s="346">
        <v>902</v>
      </c>
      <c r="C96" s="347" t="s">
        <v>133</v>
      </c>
      <c r="D96" s="347" t="s">
        <v>165</v>
      </c>
      <c r="E96" s="347" t="s">
        <v>889</v>
      </c>
      <c r="F96" s="347" t="s">
        <v>147</v>
      </c>
      <c r="G96" s="321">
        <f>G97</f>
        <v>0</v>
      </c>
      <c r="H96" s="321">
        <f t="shared" si="51"/>
        <v>0</v>
      </c>
      <c r="I96" s="321" t="e">
        <f t="shared" si="39"/>
        <v>#DIV/0!</v>
      </c>
    </row>
    <row r="97" spans="1:9" s="211" customFormat="1" ht="31.5" hidden="1" x14ac:dyDescent="0.25">
      <c r="A97" s="349" t="s">
        <v>148</v>
      </c>
      <c r="B97" s="346">
        <v>902</v>
      </c>
      <c r="C97" s="347" t="s">
        <v>133</v>
      </c>
      <c r="D97" s="347" t="s">
        <v>165</v>
      </c>
      <c r="E97" s="347" t="s">
        <v>889</v>
      </c>
      <c r="F97" s="347" t="s">
        <v>149</v>
      </c>
      <c r="G97" s="321">
        <v>0</v>
      </c>
      <c r="H97" s="321">
        <v>0</v>
      </c>
      <c r="I97" s="321" t="e">
        <f t="shared" si="39"/>
        <v>#DIV/0!</v>
      </c>
    </row>
    <row r="98" spans="1:9" ht="47.25" x14ac:dyDescent="0.25">
      <c r="A98" s="318" t="s">
        <v>134</v>
      </c>
      <c r="B98" s="315">
        <v>902</v>
      </c>
      <c r="C98" s="319" t="s">
        <v>133</v>
      </c>
      <c r="D98" s="319" t="s">
        <v>135</v>
      </c>
      <c r="E98" s="319"/>
      <c r="F98" s="347"/>
      <c r="G98" s="317">
        <f>G99</f>
        <v>1235.6128000000001</v>
      </c>
      <c r="H98" s="317">
        <f t="shared" ref="H98:H99" si="52">H99</f>
        <v>1216.46767</v>
      </c>
      <c r="I98" s="317">
        <f t="shared" si="39"/>
        <v>98.450555869929474</v>
      </c>
    </row>
    <row r="99" spans="1:9" ht="39.200000000000003" customHeight="1" x14ac:dyDescent="0.25">
      <c r="A99" s="318" t="s">
        <v>988</v>
      </c>
      <c r="B99" s="315">
        <v>902</v>
      </c>
      <c r="C99" s="319" t="s">
        <v>133</v>
      </c>
      <c r="D99" s="319" t="s">
        <v>135</v>
      </c>
      <c r="E99" s="319" t="s">
        <v>902</v>
      </c>
      <c r="F99" s="319"/>
      <c r="G99" s="317">
        <f>G100</f>
        <v>1235.6128000000001</v>
      </c>
      <c r="H99" s="317">
        <f t="shared" si="52"/>
        <v>1216.46767</v>
      </c>
      <c r="I99" s="317">
        <f t="shared" si="39"/>
        <v>98.450555869929474</v>
      </c>
    </row>
    <row r="100" spans="1:9" ht="15.75" x14ac:dyDescent="0.25">
      <c r="A100" s="318" t="s">
        <v>989</v>
      </c>
      <c r="B100" s="315">
        <v>902</v>
      </c>
      <c r="C100" s="319" t="s">
        <v>133</v>
      </c>
      <c r="D100" s="319" t="s">
        <v>135</v>
      </c>
      <c r="E100" s="319" t="s">
        <v>903</v>
      </c>
      <c r="F100" s="319"/>
      <c r="G100" s="317">
        <f>G101+G104+G107</f>
        <v>1235.6128000000001</v>
      </c>
      <c r="H100" s="317">
        <f t="shared" ref="H100" si="53">H101+H104+H107</f>
        <v>1216.46767</v>
      </c>
      <c r="I100" s="317">
        <f t="shared" si="39"/>
        <v>98.450555869929474</v>
      </c>
    </row>
    <row r="101" spans="1:9" ht="31.5" x14ac:dyDescent="0.25">
      <c r="A101" s="349" t="s">
        <v>965</v>
      </c>
      <c r="B101" s="346">
        <v>902</v>
      </c>
      <c r="C101" s="347" t="s">
        <v>133</v>
      </c>
      <c r="D101" s="347" t="s">
        <v>135</v>
      </c>
      <c r="E101" s="347" t="s">
        <v>904</v>
      </c>
      <c r="F101" s="347"/>
      <c r="G101" s="321">
        <f>G102</f>
        <v>1224</v>
      </c>
      <c r="H101" s="321">
        <f t="shared" ref="H101:H102" si="54">H102</f>
        <v>1205.8548699999999</v>
      </c>
      <c r="I101" s="321">
        <f t="shared" si="39"/>
        <v>98.517554738562083</v>
      </c>
    </row>
    <row r="102" spans="1:9" ht="78.75" x14ac:dyDescent="0.25">
      <c r="A102" s="349" t="s">
        <v>142</v>
      </c>
      <c r="B102" s="346">
        <v>902</v>
      </c>
      <c r="C102" s="347" t="s">
        <v>133</v>
      </c>
      <c r="D102" s="347" t="s">
        <v>135</v>
      </c>
      <c r="E102" s="347" t="s">
        <v>904</v>
      </c>
      <c r="F102" s="347" t="s">
        <v>143</v>
      </c>
      <c r="G102" s="321">
        <f>G103</f>
        <v>1224</v>
      </c>
      <c r="H102" s="321">
        <f t="shared" si="54"/>
        <v>1205.8548699999999</v>
      </c>
      <c r="I102" s="321">
        <f t="shared" si="39"/>
        <v>98.517554738562083</v>
      </c>
    </row>
    <row r="103" spans="1:9" ht="31.5" x14ac:dyDescent="0.25">
      <c r="A103" s="349" t="s">
        <v>144</v>
      </c>
      <c r="B103" s="346">
        <v>902</v>
      </c>
      <c r="C103" s="347" t="s">
        <v>133</v>
      </c>
      <c r="D103" s="347" t="s">
        <v>135</v>
      </c>
      <c r="E103" s="347" t="s">
        <v>904</v>
      </c>
      <c r="F103" s="347" t="s">
        <v>145</v>
      </c>
      <c r="G103" s="339">
        <f>899+55+206.4+60.5+3.1</f>
        <v>1224</v>
      </c>
      <c r="H103" s="339">
        <v>1205.8548699999999</v>
      </c>
      <c r="I103" s="321">
        <f t="shared" si="39"/>
        <v>98.517554738562083</v>
      </c>
    </row>
    <row r="104" spans="1:9" ht="31.7" customHeight="1" x14ac:dyDescent="0.25">
      <c r="A104" s="349" t="s">
        <v>883</v>
      </c>
      <c r="B104" s="346">
        <v>902</v>
      </c>
      <c r="C104" s="347" t="s">
        <v>133</v>
      </c>
      <c r="D104" s="347" t="s">
        <v>135</v>
      </c>
      <c r="E104" s="347" t="s">
        <v>906</v>
      </c>
      <c r="F104" s="347"/>
      <c r="G104" s="321">
        <f>G105</f>
        <v>1</v>
      </c>
      <c r="H104" s="321">
        <f t="shared" ref="H104:H105" si="55">H105</f>
        <v>0</v>
      </c>
      <c r="I104" s="321">
        <f t="shared" si="39"/>
        <v>0</v>
      </c>
    </row>
    <row r="105" spans="1:9" s="211" customFormat="1" ht="31.7" customHeight="1" x14ac:dyDescent="0.25">
      <c r="A105" s="349" t="s">
        <v>142</v>
      </c>
      <c r="B105" s="346">
        <v>902</v>
      </c>
      <c r="C105" s="347" t="s">
        <v>133</v>
      </c>
      <c r="D105" s="347" t="s">
        <v>135</v>
      </c>
      <c r="E105" s="347" t="s">
        <v>906</v>
      </c>
      <c r="F105" s="347" t="s">
        <v>143</v>
      </c>
      <c r="G105" s="321">
        <f>G106</f>
        <v>1</v>
      </c>
      <c r="H105" s="321">
        <f t="shared" si="55"/>
        <v>0</v>
      </c>
      <c r="I105" s="321">
        <f t="shared" si="39"/>
        <v>0</v>
      </c>
    </row>
    <row r="106" spans="1:9" ht="34.5" customHeight="1" x14ac:dyDescent="0.25">
      <c r="A106" s="349" t="s">
        <v>144</v>
      </c>
      <c r="B106" s="346">
        <v>902</v>
      </c>
      <c r="C106" s="347" t="s">
        <v>133</v>
      </c>
      <c r="D106" s="347" t="s">
        <v>135</v>
      </c>
      <c r="E106" s="347" t="s">
        <v>906</v>
      </c>
      <c r="F106" s="347" t="s">
        <v>145</v>
      </c>
      <c r="G106" s="321">
        <f>41-40</f>
        <v>1</v>
      </c>
      <c r="H106" s="321">
        <v>0</v>
      </c>
      <c r="I106" s="321">
        <f t="shared" si="39"/>
        <v>0</v>
      </c>
    </row>
    <row r="107" spans="1:9" s="310" customFormat="1" ht="34.5" customHeight="1" x14ac:dyDescent="0.25">
      <c r="A107" s="349" t="s">
        <v>1582</v>
      </c>
      <c r="B107" s="346">
        <v>902</v>
      </c>
      <c r="C107" s="347" t="s">
        <v>133</v>
      </c>
      <c r="D107" s="347" t="s">
        <v>135</v>
      </c>
      <c r="E107" s="347" t="s">
        <v>1584</v>
      </c>
      <c r="F107" s="347"/>
      <c r="G107" s="321">
        <f>G108</f>
        <v>10.6128</v>
      </c>
      <c r="H107" s="321">
        <f t="shared" ref="H107:H108" si="56">H108</f>
        <v>10.6128</v>
      </c>
      <c r="I107" s="321">
        <f t="shared" si="39"/>
        <v>100</v>
      </c>
    </row>
    <row r="108" spans="1:9" s="310" customFormat="1" ht="78.75" x14ac:dyDescent="0.25">
      <c r="A108" s="349" t="s">
        <v>142</v>
      </c>
      <c r="B108" s="346">
        <v>902</v>
      </c>
      <c r="C108" s="347" t="s">
        <v>133</v>
      </c>
      <c r="D108" s="347" t="s">
        <v>135</v>
      </c>
      <c r="E108" s="347" t="s">
        <v>1584</v>
      </c>
      <c r="F108" s="347" t="s">
        <v>143</v>
      </c>
      <c r="G108" s="321">
        <f>G109</f>
        <v>10.6128</v>
      </c>
      <c r="H108" s="321">
        <f t="shared" si="56"/>
        <v>10.6128</v>
      </c>
      <c r="I108" s="321">
        <f t="shared" si="39"/>
        <v>100</v>
      </c>
    </row>
    <row r="109" spans="1:9" s="310" customFormat="1" ht="34.5" customHeight="1" x14ac:dyDescent="0.25">
      <c r="A109" s="349" t="s">
        <v>144</v>
      </c>
      <c r="B109" s="346">
        <v>902</v>
      </c>
      <c r="C109" s="347" t="s">
        <v>133</v>
      </c>
      <c r="D109" s="347" t="s">
        <v>135</v>
      </c>
      <c r="E109" s="347" t="s">
        <v>1584</v>
      </c>
      <c r="F109" s="347" t="s">
        <v>145</v>
      </c>
      <c r="G109" s="321">
        <f>10.6128</f>
        <v>10.6128</v>
      </c>
      <c r="H109" s="321">
        <v>10.6128</v>
      </c>
      <c r="I109" s="321">
        <f t="shared" si="39"/>
        <v>100</v>
      </c>
    </row>
    <row r="110" spans="1:9" s="211" customFormat="1" ht="17.45" customHeight="1" x14ac:dyDescent="0.25">
      <c r="A110" s="318" t="s">
        <v>1361</v>
      </c>
      <c r="B110" s="315">
        <v>902</v>
      </c>
      <c r="C110" s="319" t="s">
        <v>133</v>
      </c>
      <c r="D110" s="319" t="s">
        <v>279</v>
      </c>
      <c r="E110" s="319"/>
      <c r="F110" s="347"/>
      <c r="G110" s="317">
        <f>G111</f>
        <v>1001.5</v>
      </c>
      <c r="H110" s="317">
        <f t="shared" ref="H110:H111" si="57">H111</f>
        <v>1000.046</v>
      </c>
      <c r="I110" s="317">
        <f t="shared" si="39"/>
        <v>99.854817773340002</v>
      </c>
    </row>
    <row r="111" spans="1:9" s="211" customFormat="1" ht="21.75" customHeight="1" x14ac:dyDescent="0.25">
      <c r="A111" s="318" t="s">
        <v>156</v>
      </c>
      <c r="B111" s="315">
        <v>902</v>
      </c>
      <c r="C111" s="319" t="s">
        <v>133</v>
      </c>
      <c r="D111" s="319" t="s">
        <v>279</v>
      </c>
      <c r="E111" s="319" t="s">
        <v>910</v>
      </c>
      <c r="F111" s="347"/>
      <c r="G111" s="317">
        <f>G112</f>
        <v>1001.5</v>
      </c>
      <c r="H111" s="317">
        <f t="shared" si="57"/>
        <v>1000.046</v>
      </c>
      <c r="I111" s="317">
        <f t="shared" si="39"/>
        <v>99.854817773340002</v>
      </c>
    </row>
    <row r="112" spans="1:9" s="211" customFormat="1" ht="34.5" customHeight="1" x14ac:dyDescent="0.25">
      <c r="A112" s="318" t="s">
        <v>914</v>
      </c>
      <c r="B112" s="315">
        <v>902</v>
      </c>
      <c r="C112" s="319" t="s">
        <v>133</v>
      </c>
      <c r="D112" s="319" t="s">
        <v>279</v>
      </c>
      <c r="E112" s="319" t="s">
        <v>909</v>
      </c>
      <c r="F112" s="347"/>
      <c r="G112" s="317">
        <f>G113+G118</f>
        <v>1001.5</v>
      </c>
      <c r="H112" s="317">
        <f t="shared" ref="H112" si="58">H113+H118</f>
        <v>1000.046</v>
      </c>
      <c r="I112" s="317">
        <f t="shared" si="39"/>
        <v>99.854817773340002</v>
      </c>
    </row>
    <row r="113" spans="1:9" s="211" customFormat="1" ht="18" customHeight="1" x14ac:dyDescent="0.25">
      <c r="A113" s="45" t="s">
        <v>214</v>
      </c>
      <c r="B113" s="346">
        <v>902</v>
      </c>
      <c r="C113" s="347" t="s">
        <v>133</v>
      </c>
      <c r="D113" s="347" t="s">
        <v>279</v>
      </c>
      <c r="E113" s="347" t="s">
        <v>1360</v>
      </c>
      <c r="F113" s="347"/>
      <c r="G113" s="321">
        <f>G114+G116</f>
        <v>701.5</v>
      </c>
      <c r="H113" s="321">
        <f t="shared" ref="H113" si="59">H114+H116</f>
        <v>700.04600000000005</v>
      </c>
      <c r="I113" s="321">
        <f t="shared" si="39"/>
        <v>99.792729864575918</v>
      </c>
    </row>
    <row r="114" spans="1:9" s="211" customFormat="1" ht="69.75" hidden="1" customHeight="1" x14ac:dyDescent="0.25">
      <c r="A114" s="349" t="s">
        <v>142</v>
      </c>
      <c r="B114" s="346">
        <v>902</v>
      </c>
      <c r="C114" s="347" t="s">
        <v>133</v>
      </c>
      <c r="D114" s="347" t="s">
        <v>279</v>
      </c>
      <c r="E114" s="347" t="s">
        <v>1360</v>
      </c>
      <c r="F114" s="347" t="s">
        <v>143</v>
      </c>
      <c r="G114" s="321">
        <f>G115</f>
        <v>0</v>
      </c>
      <c r="H114" s="321">
        <f t="shared" ref="H114" si="60">H115</f>
        <v>0</v>
      </c>
      <c r="I114" s="321" t="e">
        <f t="shared" si="39"/>
        <v>#DIV/0!</v>
      </c>
    </row>
    <row r="115" spans="1:9" s="211" customFormat="1" ht="34.5" hidden="1" customHeight="1" x14ac:dyDescent="0.25">
      <c r="A115" s="349" t="s">
        <v>144</v>
      </c>
      <c r="B115" s="346">
        <v>902</v>
      </c>
      <c r="C115" s="347" t="s">
        <v>133</v>
      </c>
      <c r="D115" s="347" t="s">
        <v>279</v>
      </c>
      <c r="E115" s="347" t="s">
        <v>1360</v>
      </c>
      <c r="F115" s="347" t="s">
        <v>145</v>
      </c>
      <c r="G115" s="321">
        <f>158.38-158.38</f>
        <v>0</v>
      </c>
      <c r="H115" s="321">
        <f t="shared" ref="H115" si="61">158.38-158.38</f>
        <v>0</v>
      </c>
      <c r="I115" s="321" t="e">
        <f t="shared" si="39"/>
        <v>#DIV/0!</v>
      </c>
    </row>
    <row r="116" spans="1:9" s="211" customFormat="1" ht="21.2" customHeight="1" x14ac:dyDescent="0.25">
      <c r="A116" s="349" t="s">
        <v>150</v>
      </c>
      <c r="B116" s="346">
        <v>902</v>
      </c>
      <c r="C116" s="347" t="s">
        <v>133</v>
      </c>
      <c r="D116" s="347" t="s">
        <v>279</v>
      </c>
      <c r="E116" s="347" t="s">
        <v>1360</v>
      </c>
      <c r="F116" s="347" t="s">
        <v>160</v>
      </c>
      <c r="G116" s="321">
        <f>G117</f>
        <v>701.5</v>
      </c>
      <c r="H116" s="321">
        <f t="shared" ref="H116" si="62">H117</f>
        <v>700.04600000000005</v>
      </c>
      <c r="I116" s="321">
        <f t="shared" si="39"/>
        <v>99.792729864575918</v>
      </c>
    </row>
    <row r="117" spans="1:9" s="211" customFormat="1" ht="15.75" x14ac:dyDescent="0.25">
      <c r="A117" s="349" t="s">
        <v>1529</v>
      </c>
      <c r="B117" s="346">
        <v>902</v>
      </c>
      <c r="C117" s="347" t="s">
        <v>133</v>
      </c>
      <c r="D117" s="347" t="s">
        <v>279</v>
      </c>
      <c r="E117" s="347" t="s">
        <v>1360</v>
      </c>
      <c r="F117" s="347" t="s">
        <v>1530</v>
      </c>
      <c r="G117" s="321">
        <f>900-198.5</f>
        <v>701.5</v>
      </c>
      <c r="H117" s="321">
        <v>700.04600000000005</v>
      </c>
      <c r="I117" s="321">
        <f t="shared" si="39"/>
        <v>99.792729864575918</v>
      </c>
    </row>
    <row r="118" spans="1:9" s="310" customFormat="1" ht="47.25" x14ac:dyDescent="0.25">
      <c r="A118" s="349" t="s">
        <v>1531</v>
      </c>
      <c r="B118" s="346">
        <v>902</v>
      </c>
      <c r="C118" s="347" t="s">
        <v>133</v>
      </c>
      <c r="D118" s="347" t="s">
        <v>279</v>
      </c>
      <c r="E118" s="347" t="s">
        <v>1535</v>
      </c>
      <c r="F118" s="347"/>
      <c r="G118" s="321">
        <f>G119</f>
        <v>300</v>
      </c>
      <c r="H118" s="321">
        <f t="shared" ref="H118:H119" si="63">H119</f>
        <v>300</v>
      </c>
      <c r="I118" s="321">
        <f t="shared" si="39"/>
        <v>100</v>
      </c>
    </row>
    <row r="119" spans="1:9" s="310" customFormat="1" ht="15.75" x14ac:dyDescent="0.25">
      <c r="A119" s="349" t="s">
        <v>150</v>
      </c>
      <c r="B119" s="346">
        <v>902</v>
      </c>
      <c r="C119" s="347" t="s">
        <v>133</v>
      </c>
      <c r="D119" s="347" t="s">
        <v>279</v>
      </c>
      <c r="E119" s="347" t="s">
        <v>1535</v>
      </c>
      <c r="F119" s="347" t="s">
        <v>160</v>
      </c>
      <c r="G119" s="321">
        <f>G120</f>
        <v>300</v>
      </c>
      <c r="H119" s="321">
        <f t="shared" si="63"/>
        <v>300</v>
      </c>
      <c r="I119" s="321">
        <f t="shared" si="39"/>
        <v>100</v>
      </c>
    </row>
    <row r="120" spans="1:9" s="310" customFormat="1" ht="15.75" x14ac:dyDescent="0.25">
      <c r="A120" s="349" t="s">
        <v>1529</v>
      </c>
      <c r="B120" s="346">
        <v>902</v>
      </c>
      <c r="C120" s="347" t="s">
        <v>133</v>
      </c>
      <c r="D120" s="347" t="s">
        <v>279</v>
      </c>
      <c r="E120" s="347" t="s">
        <v>1535</v>
      </c>
      <c r="F120" s="347" t="s">
        <v>1530</v>
      </c>
      <c r="G120" s="321">
        <v>300</v>
      </c>
      <c r="H120" s="321">
        <v>300</v>
      </c>
      <c r="I120" s="321">
        <f t="shared" si="39"/>
        <v>100</v>
      </c>
    </row>
    <row r="121" spans="1:9" ht="15.75" x14ac:dyDescent="0.25">
      <c r="A121" s="318" t="s">
        <v>154</v>
      </c>
      <c r="B121" s="315">
        <v>902</v>
      </c>
      <c r="C121" s="319" t="s">
        <v>133</v>
      </c>
      <c r="D121" s="319" t="s">
        <v>155</v>
      </c>
      <c r="E121" s="319"/>
      <c r="F121" s="319"/>
      <c r="G121" s="317">
        <f>G132+G141+G122+G146</f>
        <v>5355.4000000000005</v>
      </c>
      <c r="H121" s="317">
        <f t="shared" ref="H121" si="64">H132+H141+H122+H146</f>
        <v>5222.4449999999997</v>
      </c>
      <c r="I121" s="317">
        <f t="shared" si="39"/>
        <v>97.517365649624665</v>
      </c>
    </row>
    <row r="122" spans="1:9" s="211" customFormat="1" ht="19.5" customHeight="1" x14ac:dyDescent="0.25">
      <c r="A122" s="318" t="s">
        <v>156</v>
      </c>
      <c r="B122" s="315">
        <v>902</v>
      </c>
      <c r="C122" s="319" t="s">
        <v>133</v>
      </c>
      <c r="D122" s="319" t="s">
        <v>155</v>
      </c>
      <c r="E122" s="319" t="s">
        <v>910</v>
      </c>
      <c r="F122" s="319"/>
      <c r="G122" s="317">
        <f>G123</f>
        <v>5222.4000000000005</v>
      </c>
      <c r="H122" s="317">
        <f t="shared" ref="H122" si="65">H123</f>
        <v>5182.4449999999997</v>
      </c>
      <c r="I122" s="317">
        <f t="shared" si="39"/>
        <v>99.234930300245082</v>
      </c>
    </row>
    <row r="123" spans="1:9" s="211" customFormat="1" ht="34.5" customHeight="1" x14ac:dyDescent="0.25">
      <c r="A123" s="318" t="s">
        <v>993</v>
      </c>
      <c r="B123" s="315">
        <v>902</v>
      </c>
      <c r="C123" s="319" t="s">
        <v>133</v>
      </c>
      <c r="D123" s="319" t="s">
        <v>155</v>
      </c>
      <c r="E123" s="319" t="s">
        <v>911</v>
      </c>
      <c r="F123" s="319"/>
      <c r="G123" s="317">
        <f>G124+G129</f>
        <v>5222.4000000000005</v>
      </c>
      <c r="H123" s="317">
        <f t="shared" ref="H123" si="66">H124+H129</f>
        <v>5182.4449999999997</v>
      </c>
      <c r="I123" s="317">
        <f t="shared" si="39"/>
        <v>99.234930300245082</v>
      </c>
    </row>
    <row r="124" spans="1:9" s="211" customFormat="1" ht="33.4" customHeight="1" x14ac:dyDescent="0.25">
      <c r="A124" s="349" t="s">
        <v>999</v>
      </c>
      <c r="B124" s="346">
        <v>902</v>
      </c>
      <c r="C124" s="347" t="s">
        <v>133</v>
      </c>
      <c r="D124" s="347" t="s">
        <v>155</v>
      </c>
      <c r="E124" s="347" t="s">
        <v>912</v>
      </c>
      <c r="F124" s="347"/>
      <c r="G124" s="321">
        <f>G125+G127</f>
        <v>5222.4000000000005</v>
      </c>
      <c r="H124" s="321">
        <f t="shared" ref="H124" si="67">H125+H127</f>
        <v>5182.4449999999997</v>
      </c>
      <c r="I124" s="321">
        <f t="shared" si="39"/>
        <v>99.234930300245082</v>
      </c>
    </row>
    <row r="125" spans="1:9" s="211" customFormat="1" ht="66.75" customHeight="1" x14ac:dyDescent="0.25">
      <c r="A125" s="349" t="s">
        <v>142</v>
      </c>
      <c r="B125" s="346">
        <v>902</v>
      </c>
      <c r="C125" s="347" t="s">
        <v>133</v>
      </c>
      <c r="D125" s="347" t="s">
        <v>155</v>
      </c>
      <c r="E125" s="347" t="s">
        <v>912</v>
      </c>
      <c r="F125" s="347" t="s">
        <v>143</v>
      </c>
      <c r="G125" s="321">
        <f>G126</f>
        <v>4125.4000000000005</v>
      </c>
      <c r="H125" s="321">
        <f t="shared" ref="H125" si="68">H126</f>
        <v>4124.9283999999998</v>
      </c>
      <c r="I125" s="321">
        <f t="shared" si="39"/>
        <v>99.988568381247859</v>
      </c>
    </row>
    <row r="126" spans="1:9" s="211" customFormat="1" ht="20.25" customHeight="1" x14ac:dyDescent="0.25">
      <c r="A126" s="349" t="s">
        <v>223</v>
      </c>
      <c r="B126" s="346">
        <v>902</v>
      </c>
      <c r="C126" s="347" t="s">
        <v>133</v>
      </c>
      <c r="D126" s="347" t="s">
        <v>155</v>
      </c>
      <c r="E126" s="347" t="s">
        <v>912</v>
      </c>
      <c r="F126" s="347" t="s">
        <v>224</v>
      </c>
      <c r="G126" s="339">
        <f>5343+77.1-602.7-400-150-120-22</f>
        <v>4125.4000000000005</v>
      </c>
      <c r="H126" s="339">
        <v>4124.9283999999998</v>
      </c>
      <c r="I126" s="321">
        <f t="shared" si="39"/>
        <v>99.988568381247859</v>
      </c>
    </row>
    <row r="127" spans="1:9" s="211" customFormat="1" ht="39.200000000000003" customHeight="1" x14ac:dyDescent="0.25">
      <c r="A127" s="349" t="s">
        <v>213</v>
      </c>
      <c r="B127" s="346">
        <v>902</v>
      </c>
      <c r="C127" s="347" t="s">
        <v>133</v>
      </c>
      <c r="D127" s="347" t="s">
        <v>155</v>
      </c>
      <c r="E127" s="347" t="s">
        <v>912</v>
      </c>
      <c r="F127" s="347" t="s">
        <v>147</v>
      </c>
      <c r="G127" s="321">
        <f>G128</f>
        <v>1097</v>
      </c>
      <c r="H127" s="321">
        <f t="shared" ref="H127" si="69">H128</f>
        <v>1057.5165999999999</v>
      </c>
      <c r="I127" s="321">
        <f t="shared" si="39"/>
        <v>96.400783956244297</v>
      </c>
    </row>
    <row r="128" spans="1:9" s="211" customFormat="1" ht="39.200000000000003" customHeight="1" x14ac:dyDescent="0.25">
      <c r="A128" s="349" t="s">
        <v>148</v>
      </c>
      <c r="B128" s="346">
        <v>902</v>
      </c>
      <c r="C128" s="347" t="s">
        <v>133</v>
      </c>
      <c r="D128" s="347" t="s">
        <v>155</v>
      </c>
      <c r="E128" s="347" t="s">
        <v>912</v>
      </c>
      <c r="F128" s="347" t="s">
        <v>149</v>
      </c>
      <c r="G128" s="339">
        <f>1174.7+113.8-77.5-35-79</f>
        <v>1097</v>
      </c>
      <c r="H128" s="339">
        <v>1057.5165999999999</v>
      </c>
      <c r="I128" s="321">
        <f t="shared" si="39"/>
        <v>96.400783956244297</v>
      </c>
    </row>
    <row r="129" spans="1:9" s="211" customFormat="1" ht="28.5" hidden="1" customHeight="1" x14ac:dyDescent="0.25">
      <c r="A129" s="349" t="s">
        <v>883</v>
      </c>
      <c r="B129" s="346">
        <v>902</v>
      </c>
      <c r="C129" s="347" t="s">
        <v>133</v>
      </c>
      <c r="D129" s="347" t="s">
        <v>155</v>
      </c>
      <c r="E129" s="347" t="s">
        <v>913</v>
      </c>
      <c r="F129" s="347"/>
      <c r="G129" s="321">
        <f>G130</f>
        <v>0</v>
      </c>
      <c r="H129" s="321">
        <f t="shared" ref="H129:H130" si="70">H130</f>
        <v>0</v>
      </c>
      <c r="I129" s="321" t="e">
        <f t="shared" si="39"/>
        <v>#DIV/0!</v>
      </c>
    </row>
    <row r="130" spans="1:9" s="211" customFormat="1" ht="63" hidden="1" customHeight="1" x14ac:dyDescent="0.25">
      <c r="A130" s="349" t="s">
        <v>142</v>
      </c>
      <c r="B130" s="346">
        <v>902</v>
      </c>
      <c r="C130" s="347" t="s">
        <v>133</v>
      </c>
      <c r="D130" s="347" t="s">
        <v>155</v>
      </c>
      <c r="E130" s="347" t="s">
        <v>913</v>
      </c>
      <c r="F130" s="347" t="s">
        <v>143</v>
      </c>
      <c r="G130" s="321">
        <f>G131</f>
        <v>0</v>
      </c>
      <c r="H130" s="321">
        <f t="shared" si="70"/>
        <v>0</v>
      </c>
      <c r="I130" s="321" t="e">
        <f t="shared" si="39"/>
        <v>#DIV/0!</v>
      </c>
    </row>
    <row r="131" spans="1:9" s="211" customFormat="1" ht="23.25" hidden="1" customHeight="1" x14ac:dyDescent="0.25">
      <c r="A131" s="349" t="s">
        <v>223</v>
      </c>
      <c r="B131" s="346">
        <v>902</v>
      </c>
      <c r="C131" s="347" t="s">
        <v>133</v>
      </c>
      <c r="D131" s="347" t="s">
        <v>155</v>
      </c>
      <c r="E131" s="347" t="s">
        <v>913</v>
      </c>
      <c r="F131" s="347" t="s">
        <v>224</v>
      </c>
      <c r="G131" s="321">
        <f>126-126</f>
        <v>0</v>
      </c>
      <c r="H131" s="321">
        <f t="shared" ref="H131" si="71">126-126</f>
        <v>0</v>
      </c>
      <c r="I131" s="321" t="e">
        <f t="shared" si="39"/>
        <v>#DIV/0!</v>
      </c>
    </row>
    <row r="132" spans="1:9" ht="47.25" x14ac:dyDescent="0.25">
      <c r="A132" s="41" t="s">
        <v>1183</v>
      </c>
      <c r="B132" s="315">
        <v>902</v>
      </c>
      <c r="C132" s="319" t="s">
        <v>133</v>
      </c>
      <c r="D132" s="319" t="s">
        <v>155</v>
      </c>
      <c r="E132" s="319" t="s">
        <v>726</v>
      </c>
      <c r="F132" s="228"/>
      <c r="G132" s="317">
        <f>G133+G137</f>
        <v>43</v>
      </c>
      <c r="H132" s="317">
        <f t="shared" ref="H132" si="72">H133+H137</f>
        <v>40</v>
      </c>
      <c r="I132" s="317">
        <f t="shared" si="39"/>
        <v>93.023255813953483</v>
      </c>
    </row>
    <row r="133" spans="1:9" s="211" customFormat="1" ht="47.25" customHeight="1" x14ac:dyDescent="0.25">
      <c r="A133" s="216" t="s">
        <v>890</v>
      </c>
      <c r="B133" s="315">
        <v>902</v>
      </c>
      <c r="C133" s="319" t="s">
        <v>133</v>
      </c>
      <c r="D133" s="319" t="s">
        <v>155</v>
      </c>
      <c r="E133" s="319" t="s">
        <v>896</v>
      </c>
      <c r="F133" s="228"/>
      <c r="G133" s="317">
        <f>G134</f>
        <v>28</v>
      </c>
      <c r="H133" s="317">
        <f t="shared" ref="H133:H135" si="73">H134</f>
        <v>25</v>
      </c>
      <c r="I133" s="317">
        <f t="shared" si="39"/>
        <v>89.285714285714292</v>
      </c>
    </row>
    <row r="134" spans="1:9" ht="36.75" customHeight="1" x14ac:dyDescent="0.25">
      <c r="A134" s="99" t="s">
        <v>797</v>
      </c>
      <c r="B134" s="346">
        <v>902</v>
      </c>
      <c r="C134" s="347" t="s">
        <v>133</v>
      </c>
      <c r="D134" s="347" t="s">
        <v>155</v>
      </c>
      <c r="E134" s="347" t="s">
        <v>891</v>
      </c>
      <c r="F134" s="32"/>
      <c r="G134" s="321">
        <f>G135</f>
        <v>28</v>
      </c>
      <c r="H134" s="321">
        <f t="shared" si="73"/>
        <v>25</v>
      </c>
      <c r="I134" s="321">
        <f t="shared" si="39"/>
        <v>89.285714285714292</v>
      </c>
    </row>
    <row r="135" spans="1:9" ht="31.5" x14ac:dyDescent="0.25">
      <c r="A135" s="349" t="s">
        <v>146</v>
      </c>
      <c r="B135" s="346">
        <v>902</v>
      </c>
      <c r="C135" s="347" t="s">
        <v>133</v>
      </c>
      <c r="D135" s="347" t="s">
        <v>155</v>
      </c>
      <c r="E135" s="347" t="s">
        <v>891</v>
      </c>
      <c r="F135" s="32" t="s">
        <v>147</v>
      </c>
      <c r="G135" s="321">
        <f>G136</f>
        <v>28</v>
      </c>
      <c r="H135" s="321">
        <f t="shared" si="73"/>
        <v>25</v>
      </c>
      <c r="I135" s="321">
        <f t="shared" si="39"/>
        <v>89.285714285714292</v>
      </c>
    </row>
    <row r="136" spans="1:9" ht="31.5" x14ac:dyDescent="0.25">
      <c r="A136" s="349" t="s">
        <v>148</v>
      </c>
      <c r="B136" s="346">
        <v>902</v>
      </c>
      <c r="C136" s="347" t="s">
        <v>133</v>
      </c>
      <c r="D136" s="347" t="s">
        <v>155</v>
      </c>
      <c r="E136" s="347" t="s">
        <v>891</v>
      </c>
      <c r="F136" s="32" t="s">
        <v>149</v>
      </c>
      <c r="G136" s="321">
        <v>28</v>
      </c>
      <c r="H136" s="321">
        <v>25</v>
      </c>
      <c r="I136" s="321">
        <f t="shared" si="39"/>
        <v>89.285714285714292</v>
      </c>
    </row>
    <row r="137" spans="1:9" s="211" customFormat="1" ht="34.5" customHeight="1" x14ac:dyDescent="0.25">
      <c r="A137" s="217" t="s">
        <v>1186</v>
      </c>
      <c r="B137" s="315">
        <v>902</v>
      </c>
      <c r="C137" s="319" t="s">
        <v>133</v>
      </c>
      <c r="D137" s="319" t="s">
        <v>155</v>
      </c>
      <c r="E137" s="319" t="s">
        <v>897</v>
      </c>
      <c r="F137" s="228"/>
      <c r="G137" s="317">
        <f>G138</f>
        <v>15</v>
      </c>
      <c r="H137" s="317">
        <f t="shared" ref="H137:H139" si="74">H138</f>
        <v>15</v>
      </c>
      <c r="I137" s="317">
        <f t="shared" ref="I137:I200" si="75">H137/G137*100</f>
        <v>100</v>
      </c>
    </row>
    <row r="138" spans="1:9" ht="39.200000000000003" customHeight="1" x14ac:dyDescent="0.25">
      <c r="A138" s="99" t="s">
        <v>798</v>
      </c>
      <c r="B138" s="346">
        <v>902</v>
      </c>
      <c r="C138" s="347" t="s">
        <v>133</v>
      </c>
      <c r="D138" s="347" t="s">
        <v>155</v>
      </c>
      <c r="E138" s="347" t="s">
        <v>892</v>
      </c>
      <c r="F138" s="32"/>
      <c r="G138" s="321">
        <f>G139</f>
        <v>15</v>
      </c>
      <c r="H138" s="321">
        <f t="shared" si="74"/>
        <v>15</v>
      </c>
      <c r="I138" s="321">
        <f t="shared" si="75"/>
        <v>100</v>
      </c>
    </row>
    <row r="139" spans="1:9" ht="31.7" customHeight="1" x14ac:dyDescent="0.25">
      <c r="A139" s="349" t="s">
        <v>146</v>
      </c>
      <c r="B139" s="346">
        <v>902</v>
      </c>
      <c r="C139" s="347" t="s">
        <v>133</v>
      </c>
      <c r="D139" s="347" t="s">
        <v>155</v>
      </c>
      <c r="E139" s="347" t="s">
        <v>892</v>
      </c>
      <c r="F139" s="32" t="s">
        <v>147</v>
      </c>
      <c r="G139" s="321">
        <f>G140</f>
        <v>15</v>
      </c>
      <c r="H139" s="321">
        <f t="shared" si="74"/>
        <v>15</v>
      </c>
      <c r="I139" s="321">
        <f t="shared" si="75"/>
        <v>100</v>
      </c>
    </row>
    <row r="140" spans="1:9" ht="32.25" customHeight="1" x14ac:dyDescent="0.25">
      <c r="A140" s="349" t="s">
        <v>148</v>
      </c>
      <c r="B140" s="346">
        <v>902</v>
      </c>
      <c r="C140" s="347" t="s">
        <v>133</v>
      </c>
      <c r="D140" s="347" t="s">
        <v>155</v>
      </c>
      <c r="E140" s="347" t="s">
        <v>892</v>
      </c>
      <c r="F140" s="32" t="s">
        <v>149</v>
      </c>
      <c r="G140" s="321">
        <v>15</v>
      </c>
      <c r="H140" s="321">
        <v>15</v>
      </c>
      <c r="I140" s="321">
        <f t="shared" si="75"/>
        <v>100</v>
      </c>
    </row>
    <row r="141" spans="1:9" ht="68.25" customHeight="1" x14ac:dyDescent="0.25">
      <c r="A141" s="41" t="s">
        <v>1182</v>
      </c>
      <c r="B141" s="315">
        <v>902</v>
      </c>
      <c r="C141" s="8" t="s">
        <v>133</v>
      </c>
      <c r="D141" s="8" t="s">
        <v>155</v>
      </c>
      <c r="E141" s="361" t="s">
        <v>859</v>
      </c>
      <c r="F141" s="8"/>
      <c r="G141" s="317">
        <f>G143</f>
        <v>30</v>
      </c>
      <c r="H141" s="317">
        <f t="shared" ref="H141" si="76">H143</f>
        <v>0</v>
      </c>
      <c r="I141" s="317">
        <f t="shared" si="75"/>
        <v>0</v>
      </c>
    </row>
    <row r="142" spans="1:9" s="211" customFormat="1" ht="35.450000000000003" customHeight="1" x14ac:dyDescent="0.25">
      <c r="A142" s="218" t="s">
        <v>898</v>
      </c>
      <c r="B142" s="315">
        <v>902</v>
      </c>
      <c r="C142" s="8" t="s">
        <v>133</v>
      </c>
      <c r="D142" s="8" t="s">
        <v>155</v>
      </c>
      <c r="E142" s="206" t="s">
        <v>1260</v>
      </c>
      <c r="F142" s="8"/>
      <c r="G142" s="317">
        <f>G143</f>
        <v>30</v>
      </c>
      <c r="H142" s="317">
        <f t="shared" ref="H142:H144" si="77">H143</f>
        <v>0</v>
      </c>
      <c r="I142" s="317">
        <f t="shared" si="75"/>
        <v>0</v>
      </c>
    </row>
    <row r="143" spans="1:9" ht="31.7" customHeight="1" x14ac:dyDescent="0.25">
      <c r="A143" s="98" t="s">
        <v>186</v>
      </c>
      <c r="B143" s="346">
        <v>902</v>
      </c>
      <c r="C143" s="9" t="s">
        <v>133</v>
      </c>
      <c r="D143" s="9" t="s">
        <v>155</v>
      </c>
      <c r="E143" s="311" t="s">
        <v>899</v>
      </c>
      <c r="F143" s="9"/>
      <c r="G143" s="321">
        <f>G144</f>
        <v>30</v>
      </c>
      <c r="H143" s="321">
        <f t="shared" si="77"/>
        <v>0</v>
      </c>
      <c r="I143" s="321">
        <f t="shared" si="75"/>
        <v>0</v>
      </c>
    </row>
    <row r="144" spans="1:9" ht="35.450000000000003" customHeight="1" x14ac:dyDescent="0.25">
      <c r="A144" s="349" t="s">
        <v>146</v>
      </c>
      <c r="B144" s="346">
        <v>902</v>
      </c>
      <c r="C144" s="9" t="s">
        <v>133</v>
      </c>
      <c r="D144" s="9" t="s">
        <v>155</v>
      </c>
      <c r="E144" s="311" t="s">
        <v>899</v>
      </c>
      <c r="F144" s="9" t="s">
        <v>147</v>
      </c>
      <c r="G144" s="321">
        <f>G145</f>
        <v>30</v>
      </c>
      <c r="H144" s="321">
        <f t="shared" si="77"/>
        <v>0</v>
      </c>
      <c r="I144" s="321">
        <f t="shared" si="75"/>
        <v>0</v>
      </c>
    </row>
    <row r="145" spans="1:9" ht="33" customHeight="1" x14ac:dyDescent="0.25">
      <c r="A145" s="349" t="s">
        <v>148</v>
      </c>
      <c r="B145" s="346">
        <v>902</v>
      </c>
      <c r="C145" s="9" t="s">
        <v>133</v>
      </c>
      <c r="D145" s="9" t="s">
        <v>155</v>
      </c>
      <c r="E145" s="311" t="s">
        <v>899</v>
      </c>
      <c r="F145" s="9" t="s">
        <v>149</v>
      </c>
      <c r="G145" s="321">
        <v>30</v>
      </c>
      <c r="H145" s="321">
        <v>0</v>
      </c>
      <c r="I145" s="321">
        <f t="shared" si="75"/>
        <v>0</v>
      </c>
    </row>
    <row r="146" spans="1:9" s="211" customFormat="1" ht="63" x14ac:dyDescent="0.25">
      <c r="A146" s="41" t="s">
        <v>1184</v>
      </c>
      <c r="B146" s="315">
        <v>902</v>
      </c>
      <c r="C146" s="8" t="s">
        <v>133</v>
      </c>
      <c r="D146" s="8" t="s">
        <v>155</v>
      </c>
      <c r="E146" s="206" t="s">
        <v>860</v>
      </c>
      <c r="F146" s="8"/>
      <c r="G146" s="317">
        <f>G148</f>
        <v>60</v>
      </c>
      <c r="H146" s="317">
        <f t="shared" ref="H146" si="78">H148</f>
        <v>0</v>
      </c>
      <c r="I146" s="317">
        <f t="shared" si="75"/>
        <v>0</v>
      </c>
    </row>
    <row r="147" spans="1:9" s="211" customFormat="1" ht="31.5" x14ac:dyDescent="0.25">
      <c r="A147" s="58" t="s">
        <v>900</v>
      </c>
      <c r="B147" s="315">
        <v>902</v>
      </c>
      <c r="C147" s="8" t="s">
        <v>133</v>
      </c>
      <c r="D147" s="8" t="s">
        <v>155</v>
      </c>
      <c r="E147" s="206" t="s">
        <v>908</v>
      </c>
      <c r="F147" s="8"/>
      <c r="G147" s="317">
        <f>G148</f>
        <v>60</v>
      </c>
      <c r="H147" s="317">
        <f t="shared" ref="H147:H149" si="79">H148</f>
        <v>0</v>
      </c>
      <c r="I147" s="317">
        <f t="shared" si="75"/>
        <v>0</v>
      </c>
    </row>
    <row r="148" spans="1:9" s="211" customFormat="1" ht="15.75" x14ac:dyDescent="0.25">
      <c r="A148" s="45" t="s">
        <v>865</v>
      </c>
      <c r="B148" s="346">
        <v>902</v>
      </c>
      <c r="C148" s="9" t="s">
        <v>133</v>
      </c>
      <c r="D148" s="9" t="s">
        <v>155</v>
      </c>
      <c r="E148" s="311" t="s">
        <v>901</v>
      </c>
      <c r="F148" s="9"/>
      <c r="G148" s="321">
        <f>G149</f>
        <v>60</v>
      </c>
      <c r="H148" s="321">
        <f t="shared" si="79"/>
        <v>0</v>
      </c>
      <c r="I148" s="321">
        <f t="shared" si="75"/>
        <v>0</v>
      </c>
    </row>
    <row r="149" spans="1:9" s="211" customFormat="1" ht="31.5" x14ac:dyDescent="0.25">
      <c r="A149" s="349" t="s">
        <v>146</v>
      </c>
      <c r="B149" s="346">
        <v>902</v>
      </c>
      <c r="C149" s="9" t="s">
        <v>133</v>
      </c>
      <c r="D149" s="9" t="s">
        <v>155</v>
      </c>
      <c r="E149" s="311" t="s">
        <v>901</v>
      </c>
      <c r="F149" s="9" t="s">
        <v>147</v>
      </c>
      <c r="G149" s="321">
        <f>G150</f>
        <v>60</v>
      </c>
      <c r="H149" s="321">
        <f t="shared" si="79"/>
        <v>0</v>
      </c>
      <c r="I149" s="321">
        <f t="shared" si="75"/>
        <v>0</v>
      </c>
    </row>
    <row r="150" spans="1:9" s="211" customFormat="1" ht="31.5" x14ac:dyDescent="0.25">
      <c r="A150" s="349" t="s">
        <v>148</v>
      </c>
      <c r="B150" s="346">
        <v>902</v>
      </c>
      <c r="C150" s="9" t="s">
        <v>133</v>
      </c>
      <c r="D150" s="9" t="s">
        <v>155</v>
      </c>
      <c r="E150" s="311" t="s">
        <v>901</v>
      </c>
      <c r="F150" s="9" t="s">
        <v>149</v>
      </c>
      <c r="G150" s="321">
        <f>80-20</f>
        <v>60</v>
      </c>
      <c r="H150" s="321">
        <v>0</v>
      </c>
      <c r="I150" s="321">
        <f t="shared" si="75"/>
        <v>0</v>
      </c>
    </row>
    <row r="151" spans="1:9" ht="15.75" hidden="1" customHeight="1" x14ac:dyDescent="0.25">
      <c r="A151" s="318" t="s">
        <v>227</v>
      </c>
      <c r="B151" s="315">
        <v>902</v>
      </c>
      <c r="C151" s="319" t="s">
        <v>228</v>
      </c>
      <c r="D151" s="319"/>
      <c r="E151" s="319"/>
      <c r="F151" s="319"/>
      <c r="G151" s="317">
        <f t="shared" ref="G151:G156" si="80">G152</f>
        <v>0</v>
      </c>
      <c r="H151" s="317">
        <f t="shared" ref="H151:H156" si="81">H152</f>
        <v>0</v>
      </c>
      <c r="I151" s="321" t="e">
        <f t="shared" si="75"/>
        <v>#DIV/0!</v>
      </c>
    </row>
    <row r="152" spans="1:9" ht="20.25" hidden="1" customHeight="1" x14ac:dyDescent="0.25">
      <c r="A152" s="318" t="s">
        <v>233</v>
      </c>
      <c r="B152" s="315">
        <v>902</v>
      </c>
      <c r="C152" s="319" t="s">
        <v>228</v>
      </c>
      <c r="D152" s="319" t="s">
        <v>234</v>
      </c>
      <c r="E152" s="319"/>
      <c r="F152" s="319"/>
      <c r="G152" s="317">
        <f t="shared" si="80"/>
        <v>0</v>
      </c>
      <c r="H152" s="317">
        <f t="shared" si="81"/>
        <v>0</v>
      </c>
      <c r="I152" s="321" t="e">
        <f t="shared" si="75"/>
        <v>#DIV/0!</v>
      </c>
    </row>
    <row r="153" spans="1:9" ht="15.75" hidden="1" customHeight="1" x14ac:dyDescent="0.25">
      <c r="A153" s="318" t="s">
        <v>156</v>
      </c>
      <c r="B153" s="315">
        <v>902</v>
      </c>
      <c r="C153" s="319" t="s">
        <v>228</v>
      </c>
      <c r="D153" s="319" t="s">
        <v>234</v>
      </c>
      <c r="E153" s="319" t="s">
        <v>910</v>
      </c>
      <c r="F153" s="319"/>
      <c r="G153" s="317">
        <f t="shared" si="80"/>
        <v>0</v>
      </c>
      <c r="H153" s="317">
        <f t="shared" si="81"/>
        <v>0</v>
      </c>
      <c r="I153" s="321" t="e">
        <f t="shared" si="75"/>
        <v>#DIV/0!</v>
      </c>
    </row>
    <row r="154" spans="1:9" ht="33.75" hidden="1" customHeight="1" x14ac:dyDescent="0.25">
      <c r="A154" s="318" t="s">
        <v>914</v>
      </c>
      <c r="B154" s="315">
        <v>902</v>
      </c>
      <c r="C154" s="319" t="s">
        <v>228</v>
      </c>
      <c r="D154" s="319" t="s">
        <v>234</v>
      </c>
      <c r="E154" s="319" t="s">
        <v>909</v>
      </c>
      <c r="F154" s="319"/>
      <c r="G154" s="317">
        <f t="shared" si="80"/>
        <v>0</v>
      </c>
      <c r="H154" s="317">
        <f t="shared" si="81"/>
        <v>0</v>
      </c>
      <c r="I154" s="321" t="e">
        <f t="shared" si="75"/>
        <v>#DIV/0!</v>
      </c>
    </row>
    <row r="155" spans="1:9" ht="15.75" hidden="1" customHeight="1" x14ac:dyDescent="0.25">
      <c r="A155" s="349" t="s">
        <v>235</v>
      </c>
      <c r="B155" s="346">
        <v>902</v>
      </c>
      <c r="C155" s="347" t="s">
        <v>228</v>
      </c>
      <c r="D155" s="347" t="s">
        <v>234</v>
      </c>
      <c r="E155" s="347" t="s">
        <v>915</v>
      </c>
      <c r="F155" s="347"/>
      <c r="G155" s="321">
        <f t="shared" si="80"/>
        <v>0</v>
      </c>
      <c r="H155" s="321">
        <f t="shared" si="81"/>
        <v>0</v>
      </c>
      <c r="I155" s="321" t="e">
        <f t="shared" si="75"/>
        <v>#DIV/0!</v>
      </c>
    </row>
    <row r="156" spans="1:9" ht="33.75" hidden="1" customHeight="1" x14ac:dyDescent="0.25">
      <c r="A156" s="349" t="s">
        <v>213</v>
      </c>
      <c r="B156" s="346">
        <v>902</v>
      </c>
      <c r="C156" s="347" t="s">
        <v>228</v>
      </c>
      <c r="D156" s="347" t="s">
        <v>234</v>
      </c>
      <c r="E156" s="347" t="s">
        <v>915</v>
      </c>
      <c r="F156" s="347" t="s">
        <v>147</v>
      </c>
      <c r="G156" s="321">
        <f t="shared" si="80"/>
        <v>0</v>
      </c>
      <c r="H156" s="321">
        <f t="shared" si="81"/>
        <v>0</v>
      </c>
      <c r="I156" s="321" t="e">
        <f t="shared" si="75"/>
        <v>#DIV/0!</v>
      </c>
    </row>
    <row r="157" spans="1:9" ht="40.700000000000003" hidden="1" customHeight="1" x14ac:dyDescent="0.25">
      <c r="A157" s="349" t="s">
        <v>148</v>
      </c>
      <c r="B157" s="346">
        <v>902</v>
      </c>
      <c r="C157" s="347" t="s">
        <v>228</v>
      </c>
      <c r="D157" s="347" t="s">
        <v>234</v>
      </c>
      <c r="E157" s="347" t="s">
        <v>915</v>
      </c>
      <c r="F157" s="347" t="s">
        <v>149</v>
      </c>
      <c r="G157" s="339">
        <v>0</v>
      </c>
      <c r="H157" s="339">
        <v>0</v>
      </c>
      <c r="I157" s="321" t="e">
        <f t="shared" si="75"/>
        <v>#DIV/0!</v>
      </c>
    </row>
    <row r="158" spans="1:9" ht="31.5" x14ac:dyDescent="0.25">
      <c r="A158" s="318" t="s">
        <v>237</v>
      </c>
      <c r="B158" s="315">
        <v>902</v>
      </c>
      <c r="C158" s="319" t="s">
        <v>230</v>
      </c>
      <c r="D158" s="319"/>
      <c r="E158" s="319"/>
      <c r="F158" s="319"/>
      <c r="G158" s="317">
        <f>G159</f>
        <v>6328.6</v>
      </c>
      <c r="H158" s="317">
        <f t="shared" ref="H158:H159" si="82">H159</f>
        <v>6326.2932300000011</v>
      </c>
      <c r="I158" s="317">
        <f t="shared" si="75"/>
        <v>99.963550074266038</v>
      </c>
    </row>
    <row r="159" spans="1:9" ht="47.25" customHeight="1" x14ac:dyDescent="0.25">
      <c r="A159" s="318" t="s">
        <v>238</v>
      </c>
      <c r="B159" s="315">
        <v>902</v>
      </c>
      <c r="C159" s="319" t="s">
        <v>230</v>
      </c>
      <c r="D159" s="319" t="s">
        <v>234</v>
      </c>
      <c r="E159" s="347"/>
      <c r="F159" s="347"/>
      <c r="G159" s="317">
        <f>G160</f>
        <v>6328.6</v>
      </c>
      <c r="H159" s="317">
        <f t="shared" si="82"/>
        <v>6326.2932300000011</v>
      </c>
      <c r="I159" s="317">
        <f t="shared" si="75"/>
        <v>99.963550074266038</v>
      </c>
    </row>
    <row r="160" spans="1:9" ht="15.75" x14ac:dyDescent="0.25">
      <c r="A160" s="318" t="s">
        <v>156</v>
      </c>
      <c r="B160" s="315">
        <v>902</v>
      </c>
      <c r="C160" s="319" t="s">
        <v>230</v>
      </c>
      <c r="D160" s="319" t="s">
        <v>234</v>
      </c>
      <c r="E160" s="319" t="s">
        <v>910</v>
      </c>
      <c r="F160" s="319"/>
      <c r="G160" s="317">
        <f>G161+G168</f>
        <v>6328.6</v>
      </c>
      <c r="H160" s="317">
        <f t="shared" ref="H160" si="83">H161+H168</f>
        <v>6326.2932300000011</v>
      </c>
      <c r="I160" s="317">
        <f t="shared" si="75"/>
        <v>99.963550074266038</v>
      </c>
    </row>
    <row r="161" spans="1:9" s="211" customFormat="1" ht="31.5" x14ac:dyDescent="0.25">
      <c r="A161" s="318" t="s">
        <v>914</v>
      </c>
      <c r="B161" s="315">
        <v>902</v>
      </c>
      <c r="C161" s="319" t="s">
        <v>230</v>
      </c>
      <c r="D161" s="319" t="s">
        <v>234</v>
      </c>
      <c r="E161" s="319" t="s">
        <v>909</v>
      </c>
      <c r="F161" s="319"/>
      <c r="G161" s="317">
        <f>G162+G165</f>
        <v>383</v>
      </c>
      <c r="H161" s="317">
        <f t="shared" ref="H161" si="84">H162+H165</f>
        <v>382.72793000000001</v>
      </c>
      <c r="I161" s="317">
        <f t="shared" si="75"/>
        <v>99.928963446475208</v>
      </c>
    </row>
    <row r="162" spans="1:9" s="211" customFormat="1" ht="47.25" x14ac:dyDescent="0.25">
      <c r="A162" s="349" t="s">
        <v>239</v>
      </c>
      <c r="B162" s="346">
        <v>902</v>
      </c>
      <c r="C162" s="347" t="s">
        <v>230</v>
      </c>
      <c r="D162" s="347" t="s">
        <v>234</v>
      </c>
      <c r="E162" s="347" t="s">
        <v>919</v>
      </c>
      <c r="F162" s="347"/>
      <c r="G162" s="321">
        <f>G163</f>
        <v>274</v>
      </c>
      <c r="H162" s="321">
        <f t="shared" ref="H162:H163" si="85">H163</f>
        <v>273.90431999999998</v>
      </c>
      <c r="I162" s="321">
        <f t="shared" si="75"/>
        <v>99.965080291970793</v>
      </c>
    </row>
    <row r="163" spans="1:9" s="211" customFormat="1" ht="31.5" x14ac:dyDescent="0.25">
      <c r="A163" s="349" t="s">
        <v>213</v>
      </c>
      <c r="B163" s="346">
        <v>902</v>
      </c>
      <c r="C163" s="347" t="s">
        <v>230</v>
      </c>
      <c r="D163" s="347" t="s">
        <v>234</v>
      </c>
      <c r="E163" s="347" t="s">
        <v>919</v>
      </c>
      <c r="F163" s="347" t="s">
        <v>147</v>
      </c>
      <c r="G163" s="321">
        <f>G164</f>
        <v>274</v>
      </c>
      <c r="H163" s="321">
        <f t="shared" si="85"/>
        <v>273.90431999999998</v>
      </c>
      <c r="I163" s="321">
        <f t="shared" si="75"/>
        <v>99.965080291970793</v>
      </c>
    </row>
    <row r="164" spans="1:9" s="211" customFormat="1" ht="31.5" x14ac:dyDescent="0.25">
      <c r="A164" s="349" t="s">
        <v>148</v>
      </c>
      <c r="B164" s="346">
        <v>902</v>
      </c>
      <c r="C164" s="347" t="s">
        <v>230</v>
      </c>
      <c r="D164" s="347" t="s">
        <v>234</v>
      </c>
      <c r="E164" s="347" t="s">
        <v>919</v>
      </c>
      <c r="F164" s="347" t="s">
        <v>149</v>
      </c>
      <c r="G164" s="265">
        <f>1785-400+198.5-100-88+65-1195.5+9</f>
        <v>274</v>
      </c>
      <c r="H164" s="265">
        <v>273.90431999999998</v>
      </c>
      <c r="I164" s="321">
        <f t="shared" si="75"/>
        <v>99.965080291970793</v>
      </c>
    </row>
    <row r="165" spans="1:9" s="211" customFormat="1" ht="15.75" x14ac:dyDescent="0.25">
      <c r="A165" s="349" t="s">
        <v>245</v>
      </c>
      <c r="B165" s="346">
        <v>902</v>
      </c>
      <c r="C165" s="347" t="s">
        <v>230</v>
      </c>
      <c r="D165" s="347" t="s">
        <v>234</v>
      </c>
      <c r="E165" s="347" t="s">
        <v>920</v>
      </c>
      <c r="F165" s="347"/>
      <c r="G165" s="339">
        <f>G166</f>
        <v>109</v>
      </c>
      <c r="H165" s="339">
        <f t="shared" ref="H165:H166" si="86">H166</f>
        <v>108.82361</v>
      </c>
      <c r="I165" s="321">
        <f t="shared" si="75"/>
        <v>99.838174311926608</v>
      </c>
    </row>
    <row r="166" spans="1:9" s="211" customFormat="1" ht="31.5" x14ac:dyDescent="0.25">
      <c r="A166" s="349" t="s">
        <v>213</v>
      </c>
      <c r="B166" s="346">
        <v>902</v>
      </c>
      <c r="C166" s="347" t="s">
        <v>230</v>
      </c>
      <c r="D166" s="347" t="s">
        <v>234</v>
      </c>
      <c r="E166" s="347" t="s">
        <v>920</v>
      </c>
      <c r="F166" s="347" t="s">
        <v>147</v>
      </c>
      <c r="G166" s="339">
        <f>G167</f>
        <v>109</v>
      </c>
      <c r="H166" s="339">
        <f t="shared" si="86"/>
        <v>108.82361</v>
      </c>
      <c r="I166" s="321">
        <f t="shared" si="75"/>
        <v>99.838174311926608</v>
      </c>
    </row>
    <row r="167" spans="1:9" s="211" customFormat="1" ht="31.5" x14ac:dyDescent="0.25">
      <c r="A167" s="349" t="s">
        <v>148</v>
      </c>
      <c r="B167" s="346">
        <v>902</v>
      </c>
      <c r="C167" s="347" t="s">
        <v>230</v>
      </c>
      <c r="D167" s="347" t="s">
        <v>234</v>
      </c>
      <c r="E167" s="347" t="s">
        <v>920</v>
      </c>
      <c r="F167" s="347" t="s">
        <v>149</v>
      </c>
      <c r="G167" s="339">
        <f>99+98-65-23</f>
        <v>109</v>
      </c>
      <c r="H167" s="339">
        <v>108.82361</v>
      </c>
      <c r="I167" s="321">
        <f t="shared" si="75"/>
        <v>99.838174311926608</v>
      </c>
    </row>
    <row r="168" spans="1:9" s="211" customFormat="1" ht="34.5" customHeight="1" x14ac:dyDescent="0.25">
      <c r="A168" s="318" t="s">
        <v>994</v>
      </c>
      <c r="B168" s="315">
        <v>902</v>
      </c>
      <c r="C168" s="319" t="s">
        <v>230</v>
      </c>
      <c r="D168" s="319" t="s">
        <v>234</v>
      </c>
      <c r="E168" s="319" t="s">
        <v>916</v>
      </c>
      <c r="F168" s="319"/>
      <c r="G168" s="317">
        <f>G169+G174</f>
        <v>5945.6</v>
      </c>
      <c r="H168" s="317">
        <f t="shared" ref="H168" si="87">H169+H174</f>
        <v>5943.5653000000011</v>
      </c>
      <c r="I168" s="317">
        <f t="shared" si="75"/>
        <v>99.965778054359546</v>
      </c>
    </row>
    <row r="169" spans="1:9" s="211" customFormat="1" ht="31.5" x14ac:dyDescent="0.25">
      <c r="A169" s="349" t="s">
        <v>998</v>
      </c>
      <c r="B169" s="346">
        <v>902</v>
      </c>
      <c r="C169" s="347" t="s">
        <v>230</v>
      </c>
      <c r="D169" s="347" t="s">
        <v>234</v>
      </c>
      <c r="E169" s="347" t="s">
        <v>917</v>
      </c>
      <c r="F169" s="347"/>
      <c r="G169" s="321">
        <f>G170+G172</f>
        <v>5933.6</v>
      </c>
      <c r="H169" s="321">
        <f t="shared" ref="H169" si="88">H170+H172</f>
        <v>5933.4401000000007</v>
      </c>
      <c r="I169" s="321">
        <f t="shared" si="75"/>
        <v>99.997305177295402</v>
      </c>
    </row>
    <row r="170" spans="1:9" s="211" customFormat="1" ht="78.75" x14ac:dyDescent="0.25">
      <c r="A170" s="349" t="s">
        <v>142</v>
      </c>
      <c r="B170" s="346">
        <v>902</v>
      </c>
      <c r="C170" s="347" t="s">
        <v>230</v>
      </c>
      <c r="D170" s="347" t="s">
        <v>234</v>
      </c>
      <c r="E170" s="347" t="s">
        <v>917</v>
      </c>
      <c r="F170" s="347" t="s">
        <v>143</v>
      </c>
      <c r="G170" s="321">
        <f>G171</f>
        <v>5759.2000000000007</v>
      </c>
      <c r="H170" s="321">
        <f t="shared" ref="H170" si="89">H171</f>
        <v>5759.0447000000004</v>
      </c>
      <c r="I170" s="321">
        <f t="shared" si="75"/>
        <v>99.997303444922906</v>
      </c>
    </row>
    <row r="171" spans="1:9" s="211" customFormat="1" ht="15.75" x14ac:dyDescent="0.25">
      <c r="A171" s="349" t="s">
        <v>223</v>
      </c>
      <c r="B171" s="346">
        <v>902</v>
      </c>
      <c r="C171" s="347" t="s">
        <v>230</v>
      </c>
      <c r="D171" s="347" t="s">
        <v>234</v>
      </c>
      <c r="E171" s="347" t="s">
        <v>917</v>
      </c>
      <c r="F171" s="347" t="s">
        <v>224</v>
      </c>
      <c r="G171" s="339">
        <f>5525+79.7+10.9-153.2+146+42-1.5-9.4+98.1+21.6</f>
        <v>5759.2000000000007</v>
      </c>
      <c r="H171" s="339">
        <v>5759.0447000000004</v>
      </c>
      <c r="I171" s="321">
        <f t="shared" si="75"/>
        <v>99.997303444922906</v>
      </c>
    </row>
    <row r="172" spans="1:9" s="211" customFormat="1" ht="31.5" x14ac:dyDescent="0.25">
      <c r="A172" s="349" t="s">
        <v>213</v>
      </c>
      <c r="B172" s="346">
        <v>902</v>
      </c>
      <c r="C172" s="347" t="s">
        <v>230</v>
      </c>
      <c r="D172" s="347" t="s">
        <v>234</v>
      </c>
      <c r="E172" s="347" t="s">
        <v>917</v>
      </c>
      <c r="F172" s="347" t="s">
        <v>147</v>
      </c>
      <c r="G172" s="321">
        <f>G173</f>
        <v>174.4</v>
      </c>
      <c r="H172" s="321">
        <f t="shared" ref="H172" si="90">H173</f>
        <v>174.3954</v>
      </c>
      <c r="I172" s="321">
        <f t="shared" si="75"/>
        <v>99.997362385321097</v>
      </c>
    </row>
    <row r="173" spans="1:9" s="211" customFormat="1" ht="31.5" x14ac:dyDescent="0.25">
      <c r="A173" s="349" t="s">
        <v>148</v>
      </c>
      <c r="B173" s="346">
        <v>902</v>
      </c>
      <c r="C173" s="347" t="s">
        <v>230</v>
      </c>
      <c r="D173" s="347" t="s">
        <v>234</v>
      </c>
      <c r="E173" s="347" t="s">
        <v>917</v>
      </c>
      <c r="F173" s="347" t="s">
        <v>149</v>
      </c>
      <c r="G173" s="339">
        <f>163+11.4</f>
        <v>174.4</v>
      </c>
      <c r="H173" s="339">
        <v>174.3954</v>
      </c>
      <c r="I173" s="321">
        <f t="shared" si="75"/>
        <v>99.997362385321097</v>
      </c>
    </row>
    <row r="174" spans="1:9" s="211" customFormat="1" ht="31.5" x14ac:dyDescent="0.25">
      <c r="A174" s="349" t="s">
        <v>883</v>
      </c>
      <c r="B174" s="346">
        <v>902</v>
      </c>
      <c r="C174" s="347" t="s">
        <v>230</v>
      </c>
      <c r="D174" s="347" t="s">
        <v>234</v>
      </c>
      <c r="E174" s="347" t="s">
        <v>918</v>
      </c>
      <c r="F174" s="347"/>
      <c r="G174" s="321">
        <f>G175</f>
        <v>12</v>
      </c>
      <c r="H174" s="321">
        <f t="shared" ref="H174:H175" si="91">H175</f>
        <v>10.1252</v>
      </c>
      <c r="I174" s="321">
        <f t="shared" si="75"/>
        <v>84.376666666666665</v>
      </c>
    </row>
    <row r="175" spans="1:9" s="211" customFormat="1" ht="78.75" x14ac:dyDescent="0.25">
      <c r="A175" s="349" t="s">
        <v>142</v>
      </c>
      <c r="B175" s="346">
        <v>902</v>
      </c>
      <c r="C175" s="347" t="s">
        <v>230</v>
      </c>
      <c r="D175" s="347" t="s">
        <v>234</v>
      </c>
      <c r="E175" s="347" t="s">
        <v>918</v>
      </c>
      <c r="F175" s="347" t="s">
        <v>143</v>
      </c>
      <c r="G175" s="321">
        <f>G176</f>
        <v>12</v>
      </c>
      <c r="H175" s="321">
        <f t="shared" si="91"/>
        <v>10.1252</v>
      </c>
      <c r="I175" s="321">
        <f t="shared" si="75"/>
        <v>84.376666666666665</v>
      </c>
    </row>
    <row r="176" spans="1:9" s="211" customFormat="1" ht="15.75" x14ac:dyDescent="0.25">
      <c r="A176" s="349" t="s">
        <v>223</v>
      </c>
      <c r="B176" s="346">
        <v>902</v>
      </c>
      <c r="C176" s="347" t="s">
        <v>230</v>
      </c>
      <c r="D176" s="347" t="s">
        <v>234</v>
      </c>
      <c r="E176" s="347" t="s">
        <v>918</v>
      </c>
      <c r="F176" s="347" t="s">
        <v>224</v>
      </c>
      <c r="G176" s="321">
        <f>252-240</f>
        <v>12</v>
      </c>
      <c r="H176" s="321">
        <v>10.1252</v>
      </c>
      <c r="I176" s="321">
        <f t="shared" si="75"/>
        <v>84.376666666666665</v>
      </c>
    </row>
    <row r="177" spans="1:9" ht="15.75" x14ac:dyDescent="0.25">
      <c r="A177" s="318" t="s">
        <v>247</v>
      </c>
      <c r="B177" s="315">
        <v>902</v>
      </c>
      <c r="C177" s="319" t="s">
        <v>165</v>
      </c>
      <c r="D177" s="319"/>
      <c r="E177" s="319"/>
      <c r="F177" s="347"/>
      <c r="G177" s="317">
        <f>G191+G178</f>
        <v>441.48499999999996</v>
      </c>
      <c r="H177" s="317">
        <f t="shared" ref="H177" si="92">H191+H178</f>
        <v>435.81020000000001</v>
      </c>
      <c r="I177" s="317">
        <f t="shared" si="75"/>
        <v>98.714610915433155</v>
      </c>
    </row>
    <row r="178" spans="1:9" ht="15.75" x14ac:dyDescent="0.25">
      <c r="A178" s="318" t="s">
        <v>248</v>
      </c>
      <c r="B178" s="315">
        <v>902</v>
      </c>
      <c r="C178" s="319" t="s">
        <v>165</v>
      </c>
      <c r="D178" s="319" t="s">
        <v>249</v>
      </c>
      <c r="E178" s="319"/>
      <c r="F178" s="347"/>
      <c r="G178" s="317">
        <f>G179</f>
        <v>91.084999999999994</v>
      </c>
      <c r="H178" s="317">
        <f t="shared" ref="H178" si="93">H179</f>
        <v>91</v>
      </c>
      <c r="I178" s="317">
        <f t="shared" si="75"/>
        <v>99.90668057309108</v>
      </c>
    </row>
    <row r="179" spans="1:9" ht="45" customHeight="1" x14ac:dyDescent="0.25">
      <c r="A179" s="34" t="s">
        <v>196</v>
      </c>
      <c r="B179" s="315">
        <v>902</v>
      </c>
      <c r="C179" s="319" t="s">
        <v>165</v>
      </c>
      <c r="D179" s="319" t="s">
        <v>249</v>
      </c>
      <c r="E179" s="206" t="s">
        <v>197</v>
      </c>
      <c r="F179" s="228"/>
      <c r="G179" s="317">
        <f>G180+G187</f>
        <v>91.084999999999994</v>
      </c>
      <c r="H179" s="317">
        <f t="shared" ref="H179" si="94">H180+H187</f>
        <v>91</v>
      </c>
      <c r="I179" s="317">
        <f t="shared" si="75"/>
        <v>99.90668057309108</v>
      </c>
    </row>
    <row r="180" spans="1:9" s="211" customFormat="1" ht="35.450000000000003" customHeight="1" x14ac:dyDescent="0.25">
      <c r="A180" s="34" t="s">
        <v>1157</v>
      </c>
      <c r="B180" s="315">
        <v>902</v>
      </c>
      <c r="C180" s="319" t="s">
        <v>165</v>
      </c>
      <c r="D180" s="319" t="s">
        <v>249</v>
      </c>
      <c r="E180" s="260" t="s">
        <v>921</v>
      </c>
      <c r="F180" s="228"/>
      <c r="G180" s="317">
        <f>G181+G184</f>
        <v>91.084999999999994</v>
      </c>
      <c r="H180" s="317">
        <f t="shared" ref="H180" si="95">H181+H184</f>
        <v>91</v>
      </c>
      <c r="I180" s="317">
        <f t="shared" si="75"/>
        <v>99.90668057309108</v>
      </c>
    </row>
    <row r="181" spans="1:9" ht="15.75" x14ac:dyDescent="0.25">
      <c r="A181" s="349" t="s">
        <v>922</v>
      </c>
      <c r="B181" s="346">
        <v>902</v>
      </c>
      <c r="C181" s="347" t="s">
        <v>165</v>
      </c>
      <c r="D181" s="347" t="s">
        <v>249</v>
      </c>
      <c r="E181" s="347" t="s">
        <v>966</v>
      </c>
      <c r="F181" s="32"/>
      <c r="G181" s="321">
        <f>G182</f>
        <v>9.4849999999999994</v>
      </c>
      <c r="H181" s="321">
        <f t="shared" ref="H181:H182" si="96">H182</f>
        <v>9.4849999999999994</v>
      </c>
      <c r="I181" s="321">
        <f t="shared" si="75"/>
        <v>100</v>
      </c>
    </row>
    <row r="182" spans="1:9" ht="15.75" x14ac:dyDescent="0.25">
      <c r="A182" s="323" t="s">
        <v>150</v>
      </c>
      <c r="B182" s="346">
        <v>902</v>
      </c>
      <c r="C182" s="347" t="s">
        <v>165</v>
      </c>
      <c r="D182" s="347" t="s">
        <v>249</v>
      </c>
      <c r="E182" s="347" t="s">
        <v>966</v>
      </c>
      <c r="F182" s="32" t="s">
        <v>160</v>
      </c>
      <c r="G182" s="321">
        <f>G183</f>
        <v>9.4849999999999994</v>
      </c>
      <c r="H182" s="321">
        <f t="shared" si="96"/>
        <v>9.4849999999999994</v>
      </c>
      <c r="I182" s="321">
        <f t="shared" si="75"/>
        <v>100</v>
      </c>
    </row>
    <row r="183" spans="1:9" ht="47.25" x14ac:dyDescent="0.25">
      <c r="A183" s="323" t="s">
        <v>199</v>
      </c>
      <c r="B183" s="346">
        <v>902</v>
      </c>
      <c r="C183" s="347" t="s">
        <v>165</v>
      </c>
      <c r="D183" s="347" t="s">
        <v>249</v>
      </c>
      <c r="E183" s="347" t="s">
        <v>966</v>
      </c>
      <c r="F183" s="32" t="s">
        <v>175</v>
      </c>
      <c r="G183" s="321">
        <f>1+29-20.515</f>
        <v>9.4849999999999994</v>
      </c>
      <c r="H183" s="321">
        <v>9.4849999999999994</v>
      </c>
      <c r="I183" s="321">
        <f t="shared" si="75"/>
        <v>100</v>
      </c>
    </row>
    <row r="184" spans="1:9" s="211" customFormat="1" ht="31.5" x14ac:dyDescent="0.25">
      <c r="A184" s="349" t="s">
        <v>250</v>
      </c>
      <c r="B184" s="346">
        <v>902</v>
      </c>
      <c r="C184" s="347" t="s">
        <v>165</v>
      </c>
      <c r="D184" s="347" t="s">
        <v>249</v>
      </c>
      <c r="E184" s="347" t="s">
        <v>925</v>
      </c>
      <c r="F184" s="347"/>
      <c r="G184" s="321">
        <f>G185</f>
        <v>81.599999999999994</v>
      </c>
      <c r="H184" s="321">
        <f t="shared" ref="H184:H185" si="97">H185</f>
        <v>81.515000000000001</v>
      </c>
      <c r="I184" s="321">
        <f t="shared" si="75"/>
        <v>99.895833333333343</v>
      </c>
    </row>
    <row r="185" spans="1:9" s="211" customFormat="1" ht="15.75" x14ac:dyDescent="0.25">
      <c r="A185" s="349" t="s">
        <v>150</v>
      </c>
      <c r="B185" s="346">
        <v>902</v>
      </c>
      <c r="C185" s="347" t="s">
        <v>165</v>
      </c>
      <c r="D185" s="347" t="s">
        <v>249</v>
      </c>
      <c r="E185" s="347" t="s">
        <v>925</v>
      </c>
      <c r="F185" s="347" t="s">
        <v>160</v>
      </c>
      <c r="G185" s="321">
        <f>G186</f>
        <v>81.599999999999994</v>
      </c>
      <c r="H185" s="321">
        <f t="shared" si="97"/>
        <v>81.515000000000001</v>
      </c>
      <c r="I185" s="321">
        <f t="shared" si="75"/>
        <v>99.895833333333343</v>
      </c>
    </row>
    <row r="186" spans="1:9" s="211" customFormat="1" ht="47.25" x14ac:dyDescent="0.25">
      <c r="A186" s="349" t="s">
        <v>199</v>
      </c>
      <c r="B186" s="346">
        <v>902</v>
      </c>
      <c r="C186" s="347" t="s">
        <v>165</v>
      </c>
      <c r="D186" s="347" t="s">
        <v>249</v>
      </c>
      <c r="E186" s="347" t="s">
        <v>925</v>
      </c>
      <c r="F186" s="347" t="s">
        <v>175</v>
      </c>
      <c r="G186" s="321">
        <f>255-173.4</f>
        <v>81.599999999999994</v>
      </c>
      <c r="H186" s="321">
        <v>81.515000000000001</v>
      </c>
      <c r="I186" s="321">
        <f t="shared" si="75"/>
        <v>99.895833333333343</v>
      </c>
    </row>
    <row r="187" spans="1:9" s="211" customFormat="1" ht="47.25" hidden="1" x14ac:dyDescent="0.25">
      <c r="A187" s="252" t="s">
        <v>1158</v>
      </c>
      <c r="B187" s="315">
        <v>902</v>
      </c>
      <c r="C187" s="319" t="s">
        <v>165</v>
      </c>
      <c r="D187" s="319" t="s">
        <v>249</v>
      </c>
      <c r="E187" s="206" t="s">
        <v>924</v>
      </c>
      <c r="F187" s="228"/>
      <c r="G187" s="317">
        <f>G188</f>
        <v>0</v>
      </c>
      <c r="H187" s="317">
        <f t="shared" ref="H187:H189" si="98">H188</f>
        <v>0</v>
      </c>
      <c r="I187" s="321" t="e">
        <f t="shared" si="75"/>
        <v>#DIV/0!</v>
      </c>
    </row>
    <row r="188" spans="1:9" s="211" customFormat="1" ht="15.75" hidden="1" x14ac:dyDescent="0.25">
      <c r="A188" s="349" t="s">
        <v>923</v>
      </c>
      <c r="B188" s="346">
        <v>902</v>
      </c>
      <c r="C188" s="347" t="s">
        <v>165</v>
      </c>
      <c r="D188" s="347" t="s">
        <v>249</v>
      </c>
      <c r="E188" s="311" t="s">
        <v>967</v>
      </c>
      <c r="F188" s="32"/>
      <c r="G188" s="321">
        <f>G189</f>
        <v>0</v>
      </c>
      <c r="H188" s="321">
        <f t="shared" si="98"/>
        <v>0</v>
      </c>
      <c r="I188" s="321" t="e">
        <f t="shared" si="75"/>
        <v>#DIV/0!</v>
      </c>
    </row>
    <row r="189" spans="1:9" s="211" customFormat="1" ht="15.75" hidden="1" x14ac:dyDescent="0.25">
      <c r="A189" s="323" t="s">
        <v>150</v>
      </c>
      <c r="B189" s="346">
        <v>902</v>
      </c>
      <c r="C189" s="347" t="s">
        <v>165</v>
      </c>
      <c r="D189" s="347" t="s">
        <v>249</v>
      </c>
      <c r="E189" s="311" t="s">
        <v>967</v>
      </c>
      <c r="F189" s="32" t="s">
        <v>160</v>
      </c>
      <c r="G189" s="321">
        <f>G190</f>
        <v>0</v>
      </c>
      <c r="H189" s="321">
        <f t="shared" si="98"/>
        <v>0</v>
      </c>
      <c r="I189" s="321" t="e">
        <f t="shared" si="75"/>
        <v>#DIV/0!</v>
      </c>
    </row>
    <row r="190" spans="1:9" s="211" customFormat="1" ht="47.25" hidden="1" x14ac:dyDescent="0.25">
      <c r="A190" s="323" t="s">
        <v>199</v>
      </c>
      <c r="B190" s="346">
        <v>902</v>
      </c>
      <c r="C190" s="347" t="s">
        <v>165</v>
      </c>
      <c r="D190" s="347" t="s">
        <v>249</v>
      </c>
      <c r="E190" s="311" t="s">
        <v>967</v>
      </c>
      <c r="F190" s="32" t="s">
        <v>175</v>
      </c>
      <c r="G190" s="321">
        <f>50-29-21</f>
        <v>0</v>
      </c>
      <c r="H190" s="321">
        <f t="shared" ref="H190" si="99">50-29-21</f>
        <v>0</v>
      </c>
      <c r="I190" s="321" t="e">
        <f t="shared" si="75"/>
        <v>#DIV/0!</v>
      </c>
    </row>
    <row r="191" spans="1:9" ht="15.75" x14ac:dyDescent="0.25">
      <c r="A191" s="318" t="s">
        <v>252</v>
      </c>
      <c r="B191" s="315">
        <v>902</v>
      </c>
      <c r="C191" s="319" t="s">
        <v>165</v>
      </c>
      <c r="D191" s="319" t="s">
        <v>253</v>
      </c>
      <c r="E191" s="319"/>
      <c r="F191" s="319"/>
      <c r="G191" s="317">
        <f>G192+G199</f>
        <v>350.4</v>
      </c>
      <c r="H191" s="317">
        <f t="shared" ref="H191" si="100">H192+H199</f>
        <v>344.81020000000001</v>
      </c>
      <c r="I191" s="317">
        <f t="shared" si="75"/>
        <v>98.404737442922382</v>
      </c>
    </row>
    <row r="192" spans="1:9" ht="31.5" x14ac:dyDescent="0.25">
      <c r="A192" s="318" t="s">
        <v>988</v>
      </c>
      <c r="B192" s="315">
        <v>902</v>
      </c>
      <c r="C192" s="319" t="s">
        <v>165</v>
      </c>
      <c r="D192" s="319" t="s">
        <v>253</v>
      </c>
      <c r="E192" s="319" t="s">
        <v>902</v>
      </c>
      <c r="F192" s="319"/>
      <c r="G192" s="317">
        <f>G193</f>
        <v>250.39999999999998</v>
      </c>
      <c r="H192" s="317">
        <f t="shared" ref="H192" si="101">H193</f>
        <v>244.81020000000001</v>
      </c>
      <c r="I192" s="317">
        <f t="shared" si="75"/>
        <v>97.767651757188517</v>
      </c>
    </row>
    <row r="193" spans="1:9" ht="31.5" x14ac:dyDescent="0.25">
      <c r="A193" s="318" t="s">
        <v>930</v>
      </c>
      <c r="B193" s="315">
        <v>902</v>
      </c>
      <c r="C193" s="319" t="s">
        <v>165</v>
      </c>
      <c r="D193" s="319" t="s">
        <v>253</v>
      </c>
      <c r="E193" s="319" t="s">
        <v>907</v>
      </c>
      <c r="F193" s="319"/>
      <c r="G193" s="317">
        <f>G194+G204</f>
        <v>250.39999999999998</v>
      </c>
      <c r="H193" s="317">
        <f t="shared" ref="H193" si="102">H194+H204</f>
        <v>244.81020000000001</v>
      </c>
      <c r="I193" s="317">
        <f t="shared" si="75"/>
        <v>97.767651757188517</v>
      </c>
    </row>
    <row r="194" spans="1:9" ht="69.75" customHeight="1" x14ac:dyDescent="0.25">
      <c r="A194" s="31" t="s">
        <v>256</v>
      </c>
      <c r="B194" s="346">
        <v>902</v>
      </c>
      <c r="C194" s="347" t="s">
        <v>165</v>
      </c>
      <c r="D194" s="347" t="s">
        <v>253</v>
      </c>
      <c r="E194" s="347" t="s">
        <v>995</v>
      </c>
      <c r="F194" s="347"/>
      <c r="G194" s="321">
        <f>G195+G197</f>
        <v>250.39999999999998</v>
      </c>
      <c r="H194" s="321">
        <f t="shared" ref="H194" si="103">H195+H197</f>
        <v>244.81020000000001</v>
      </c>
      <c r="I194" s="321">
        <f t="shared" si="75"/>
        <v>97.767651757188517</v>
      </c>
    </row>
    <row r="195" spans="1:9" ht="78.75" x14ac:dyDescent="0.25">
      <c r="A195" s="349" t="s">
        <v>142</v>
      </c>
      <c r="B195" s="346">
        <v>902</v>
      </c>
      <c r="C195" s="347" t="s">
        <v>165</v>
      </c>
      <c r="D195" s="347" t="s">
        <v>253</v>
      </c>
      <c r="E195" s="347" t="s">
        <v>995</v>
      </c>
      <c r="F195" s="347" t="s">
        <v>143</v>
      </c>
      <c r="G195" s="321">
        <f>G196</f>
        <v>217.2</v>
      </c>
      <c r="H195" s="321">
        <f t="shared" ref="H195" si="104">H196</f>
        <v>217.04399000000001</v>
      </c>
      <c r="I195" s="321">
        <f t="shared" si="75"/>
        <v>99.928172191528546</v>
      </c>
    </row>
    <row r="196" spans="1:9" ht="31.5" x14ac:dyDescent="0.25">
      <c r="A196" s="349" t="s">
        <v>144</v>
      </c>
      <c r="B196" s="346">
        <v>902</v>
      </c>
      <c r="C196" s="347" t="s">
        <v>165</v>
      </c>
      <c r="D196" s="347" t="s">
        <v>253</v>
      </c>
      <c r="E196" s="347" t="s">
        <v>995</v>
      </c>
      <c r="F196" s="347" t="s">
        <v>145</v>
      </c>
      <c r="G196" s="321">
        <f>187+64.1-15.2-18.8+0.1</f>
        <v>217.2</v>
      </c>
      <c r="H196" s="321">
        <v>217.04399000000001</v>
      </c>
      <c r="I196" s="321">
        <f t="shared" si="75"/>
        <v>99.928172191528546</v>
      </c>
    </row>
    <row r="197" spans="1:9" ht="31.5" x14ac:dyDescent="0.25">
      <c r="A197" s="349" t="s">
        <v>146</v>
      </c>
      <c r="B197" s="346">
        <v>902</v>
      </c>
      <c r="C197" s="347" t="s">
        <v>165</v>
      </c>
      <c r="D197" s="347" t="s">
        <v>253</v>
      </c>
      <c r="E197" s="347" t="s">
        <v>995</v>
      </c>
      <c r="F197" s="347" t="s">
        <v>147</v>
      </c>
      <c r="G197" s="321">
        <f>G198</f>
        <v>33.200000000000003</v>
      </c>
      <c r="H197" s="321">
        <f t="shared" ref="H197" si="105">H198</f>
        <v>27.766210000000001</v>
      </c>
      <c r="I197" s="321">
        <f t="shared" si="75"/>
        <v>83.633162650602415</v>
      </c>
    </row>
    <row r="198" spans="1:9" ht="31.5" x14ac:dyDescent="0.25">
      <c r="A198" s="349" t="s">
        <v>148</v>
      </c>
      <c r="B198" s="346">
        <v>902</v>
      </c>
      <c r="C198" s="347" t="s">
        <v>165</v>
      </c>
      <c r="D198" s="347" t="s">
        <v>253</v>
      </c>
      <c r="E198" s="347" t="s">
        <v>995</v>
      </c>
      <c r="F198" s="347" t="s">
        <v>149</v>
      </c>
      <c r="G198" s="321">
        <f>101.8-64.1+15.2-19.6-0.1</f>
        <v>33.200000000000003</v>
      </c>
      <c r="H198" s="321">
        <v>27.766210000000001</v>
      </c>
      <c r="I198" s="321">
        <f t="shared" si="75"/>
        <v>83.633162650602415</v>
      </c>
    </row>
    <row r="199" spans="1:9" s="211" customFormat="1" ht="47.25" x14ac:dyDescent="0.25">
      <c r="A199" s="318" t="s">
        <v>1237</v>
      </c>
      <c r="B199" s="315">
        <v>902</v>
      </c>
      <c r="C199" s="319" t="s">
        <v>165</v>
      </c>
      <c r="D199" s="319" t="s">
        <v>253</v>
      </c>
      <c r="E199" s="319" t="s">
        <v>171</v>
      </c>
      <c r="F199" s="319"/>
      <c r="G199" s="317">
        <f>G200</f>
        <v>100</v>
      </c>
      <c r="H199" s="317">
        <f t="shared" ref="H199" si="106">H200</f>
        <v>100</v>
      </c>
      <c r="I199" s="317">
        <f t="shared" si="75"/>
        <v>100</v>
      </c>
    </row>
    <row r="200" spans="1:9" s="211" customFormat="1" ht="31.5" x14ac:dyDescent="0.25">
      <c r="A200" s="318" t="s">
        <v>1241</v>
      </c>
      <c r="B200" s="315">
        <v>902</v>
      </c>
      <c r="C200" s="319" t="s">
        <v>165</v>
      </c>
      <c r="D200" s="319" t="s">
        <v>253</v>
      </c>
      <c r="E200" s="319" t="s">
        <v>1238</v>
      </c>
      <c r="F200" s="319"/>
      <c r="G200" s="317">
        <f>G201+G204</f>
        <v>100</v>
      </c>
      <c r="H200" s="317">
        <f t="shared" ref="H200" si="107">H201+H204</f>
        <v>100</v>
      </c>
      <c r="I200" s="317">
        <f t="shared" si="75"/>
        <v>100</v>
      </c>
    </row>
    <row r="201" spans="1:9" s="211" customFormat="1" ht="31.5" x14ac:dyDescent="0.25">
      <c r="A201" s="349" t="s">
        <v>1242</v>
      </c>
      <c r="B201" s="346">
        <v>902</v>
      </c>
      <c r="C201" s="347" t="s">
        <v>165</v>
      </c>
      <c r="D201" s="347" t="s">
        <v>253</v>
      </c>
      <c r="E201" s="347" t="s">
        <v>1239</v>
      </c>
      <c r="F201" s="347"/>
      <c r="G201" s="321">
        <f>G202</f>
        <v>100</v>
      </c>
      <c r="H201" s="321">
        <f t="shared" ref="H201:H202" si="108">H202</f>
        <v>100</v>
      </c>
      <c r="I201" s="321">
        <f t="shared" ref="I201:I264" si="109">H201/G201*100</f>
        <v>100</v>
      </c>
    </row>
    <row r="202" spans="1:9" s="211" customFormat="1" ht="15.75" x14ac:dyDescent="0.25">
      <c r="A202" s="349" t="s">
        <v>150</v>
      </c>
      <c r="B202" s="346">
        <v>902</v>
      </c>
      <c r="C202" s="347" t="s">
        <v>165</v>
      </c>
      <c r="D202" s="347" t="s">
        <v>253</v>
      </c>
      <c r="E202" s="347" t="s">
        <v>1239</v>
      </c>
      <c r="F202" s="347" t="s">
        <v>160</v>
      </c>
      <c r="G202" s="321">
        <f>G203</f>
        <v>100</v>
      </c>
      <c r="H202" s="321">
        <f t="shared" si="108"/>
        <v>100</v>
      </c>
      <c r="I202" s="321">
        <f t="shared" si="109"/>
        <v>100</v>
      </c>
    </row>
    <row r="203" spans="1:9" s="211" customFormat="1" ht="47.25" x14ac:dyDescent="0.25">
      <c r="A203" s="349" t="s">
        <v>199</v>
      </c>
      <c r="B203" s="346">
        <v>902</v>
      </c>
      <c r="C203" s="347" t="s">
        <v>165</v>
      </c>
      <c r="D203" s="347" t="s">
        <v>253</v>
      </c>
      <c r="E203" s="347" t="s">
        <v>1239</v>
      </c>
      <c r="F203" s="347" t="s">
        <v>175</v>
      </c>
      <c r="G203" s="321">
        <f>250-150</f>
        <v>100</v>
      </c>
      <c r="H203" s="321">
        <v>100</v>
      </c>
      <c r="I203" s="321">
        <f t="shared" si="109"/>
        <v>100</v>
      </c>
    </row>
    <row r="204" spans="1:9" s="211" customFormat="1" ht="31.5" hidden="1" x14ac:dyDescent="0.25">
      <c r="A204" s="349" t="s">
        <v>254</v>
      </c>
      <c r="B204" s="346">
        <v>902</v>
      </c>
      <c r="C204" s="347" t="s">
        <v>165</v>
      </c>
      <c r="D204" s="347" t="s">
        <v>253</v>
      </c>
      <c r="E204" s="347" t="s">
        <v>1240</v>
      </c>
      <c r="F204" s="319"/>
      <c r="G204" s="321">
        <f>G205</f>
        <v>0</v>
      </c>
      <c r="H204" s="321">
        <f t="shared" ref="H204:H205" si="110">H205</f>
        <v>0</v>
      </c>
      <c r="I204" s="321" t="e">
        <f t="shared" si="109"/>
        <v>#DIV/0!</v>
      </c>
    </row>
    <row r="205" spans="1:9" s="211" customFormat="1" ht="15.75" hidden="1" x14ac:dyDescent="0.25">
      <c r="A205" s="349" t="s">
        <v>150</v>
      </c>
      <c r="B205" s="346">
        <v>902</v>
      </c>
      <c r="C205" s="347" t="s">
        <v>165</v>
      </c>
      <c r="D205" s="347" t="s">
        <v>253</v>
      </c>
      <c r="E205" s="347" t="s">
        <v>1240</v>
      </c>
      <c r="F205" s="347" t="s">
        <v>160</v>
      </c>
      <c r="G205" s="321">
        <f>G206</f>
        <v>0</v>
      </c>
      <c r="H205" s="321">
        <f t="shared" si="110"/>
        <v>0</v>
      </c>
      <c r="I205" s="321" t="e">
        <f t="shared" si="109"/>
        <v>#DIV/0!</v>
      </c>
    </row>
    <row r="206" spans="1:9" s="211" customFormat="1" ht="47.25" hidden="1" x14ac:dyDescent="0.25">
      <c r="A206" s="349" t="s">
        <v>199</v>
      </c>
      <c r="B206" s="346">
        <v>902</v>
      </c>
      <c r="C206" s="347" t="s">
        <v>165</v>
      </c>
      <c r="D206" s="347" t="s">
        <v>253</v>
      </c>
      <c r="E206" s="347" t="s">
        <v>1240</v>
      </c>
      <c r="F206" s="347" t="s">
        <v>175</v>
      </c>
      <c r="G206" s="321">
        <v>0</v>
      </c>
      <c r="H206" s="321">
        <v>0</v>
      </c>
      <c r="I206" s="321" t="e">
        <f t="shared" si="109"/>
        <v>#DIV/0!</v>
      </c>
    </row>
    <row r="207" spans="1:9" ht="16.5" customHeight="1" x14ac:dyDescent="0.25">
      <c r="A207" s="318" t="s">
        <v>258</v>
      </c>
      <c r="B207" s="315">
        <v>902</v>
      </c>
      <c r="C207" s="319" t="s">
        <v>259</v>
      </c>
      <c r="D207" s="319"/>
      <c r="E207" s="319"/>
      <c r="F207" s="319"/>
      <c r="G207" s="317">
        <f>G208+G214+G220</f>
        <v>13947.4</v>
      </c>
      <c r="H207" s="317">
        <f t="shared" ref="H207" si="111">H208+H214+H220</f>
        <v>13500.496810000001</v>
      </c>
      <c r="I207" s="317">
        <f t="shared" si="109"/>
        <v>96.795795703858786</v>
      </c>
    </row>
    <row r="208" spans="1:9" ht="15.75" x14ac:dyDescent="0.25">
      <c r="A208" s="318" t="s">
        <v>260</v>
      </c>
      <c r="B208" s="315">
        <v>902</v>
      </c>
      <c r="C208" s="319" t="s">
        <v>259</v>
      </c>
      <c r="D208" s="319" t="s">
        <v>133</v>
      </c>
      <c r="E208" s="319"/>
      <c r="F208" s="319"/>
      <c r="G208" s="317">
        <f>G209</f>
        <v>10326</v>
      </c>
      <c r="H208" s="317">
        <f t="shared" ref="H208:H212" si="112">H209</f>
        <v>10325.19124</v>
      </c>
      <c r="I208" s="317">
        <f t="shared" si="109"/>
        <v>99.992167731938792</v>
      </c>
    </row>
    <row r="209" spans="1:9" ht="15.75" x14ac:dyDescent="0.25">
      <c r="A209" s="318" t="s">
        <v>156</v>
      </c>
      <c r="B209" s="315">
        <v>902</v>
      </c>
      <c r="C209" s="319" t="s">
        <v>259</v>
      </c>
      <c r="D209" s="319" t="s">
        <v>133</v>
      </c>
      <c r="E209" s="319" t="s">
        <v>910</v>
      </c>
      <c r="F209" s="319"/>
      <c r="G209" s="317">
        <f>G210</f>
        <v>10326</v>
      </c>
      <c r="H209" s="317">
        <f t="shared" si="112"/>
        <v>10325.19124</v>
      </c>
      <c r="I209" s="317">
        <f t="shared" si="109"/>
        <v>99.992167731938792</v>
      </c>
    </row>
    <row r="210" spans="1:9" ht="31.5" x14ac:dyDescent="0.25">
      <c r="A210" s="318" t="s">
        <v>914</v>
      </c>
      <c r="B210" s="315">
        <v>902</v>
      </c>
      <c r="C210" s="319" t="s">
        <v>259</v>
      </c>
      <c r="D210" s="319" t="s">
        <v>133</v>
      </c>
      <c r="E210" s="319" t="s">
        <v>909</v>
      </c>
      <c r="F210" s="319"/>
      <c r="G210" s="317">
        <f>G211</f>
        <v>10326</v>
      </c>
      <c r="H210" s="317">
        <f t="shared" si="112"/>
        <v>10325.19124</v>
      </c>
      <c r="I210" s="317">
        <f t="shared" si="109"/>
        <v>99.992167731938792</v>
      </c>
    </row>
    <row r="211" spans="1:9" ht="15.75" x14ac:dyDescent="0.25">
      <c r="A211" s="349" t="s">
        <v>261</v>
      </c>
      <c r="B211" s="346">
        <v>902</v>
      </c>
      <c r="C211" s="347" t="s">
        <v>259</v>
      </c>
      <c r="D211" s="347" t="s">
        <v>133</v>
      </c>
      <c r="E211" s="347" t="s">
        <v>926</v>
      </c>
      <c r="F211" s="347"/>
      <c r="G211" s="321">
        <f>G212</f>
        <v>10326</v>
      </c>
      <c r="H211" s="321">
        <f t="shared" si="112"/>
        <v>10325.19124</v>
      </c>
      <c r="I211" s="321">
        <f t="shared" si="109"/>
        <v>99.992167731938792</v>
      </c>
    </row>
    <row r="212" spans="1:9" ht="15.75" x14ac:dyDescent="0.25">
      <c r="A212" s="349" t="s">
        <v>263</v>
      </c>
      <c r="B212" s="346">
        <v>902</v>
      </c>
      <c r="C212" s="347" t="s">
        <v>259</v>
      </c>
      <c r="D212" s="347" t="s">
        <v>133</v>
      </c>
      <c r="E212" s="347" t="s">
        <v>926</v>
      </c>
      <c r="F212" s="347" t="s">
        <v>264</v>
      </c>
      <c r="G212" s="321">
        <f>G213</f>
        <v>10326</v>
      </c>
      <c r="H212" s="321">
        <f t="shared" si="112"/>
        <v>10325.19124</v>
      </c>
      <c r="I212" s="321">
        <f t="shared" si="109"/>
        <v>99.992167731938792</v>
      </c>
    </row>
    <row r="213" spans="1:9" ht="31.5" x14ac:dyDescent="0.25">
      <c r="A213" s="349" t="s">
        <v>265</v>
      </c>
      <c r="B213" s="346">
        <v>902</v>
      </c>
      <c r="C213" s="347" t="s">
        <v>259</v>
      </c>
      <c r="D213" s="347" t="s">
        <v>133</v>
      </c>
      <c r="E213" s="347" t="s">
        <v>926</v>
      </c>
      <c r="F213" s="347" t="s">
        <v>266</v>
      </c>
      <c r="G213" s="339">
        <f>9066.4+389.6+870</f>
        <v>10326</v>
      </c>
      <c r="H213" s="339">
        <v>10325.19124</v>
      </c>
      <c r="I213" s="321">
        <f t="shared" si="109"/>
        <v>99.992167731938792</v>
      </c>
    </row>
    <row r="214" spans="1:9" ht="15.75" hidden="1" x14ac:dyDescent="0.25">
      <c r="A214" s="318" t="s">
        <v>267</v>
      </c>
      <c r="B214" s="315">
        <v>902</v>
      </c>
      <c r="C214" s="319" t="s">
        <v>259</v>
      </c>
      <c r="D214" s="319" t="s">
        <v>230</v>
      </c>
      <c r="E214" s="347"/>
      <c r="F214" s="347"/>
      <c r="G214" s="317">
        <f>G215</f>
        <v>0</v>
      </c>
      <c r="H214" s="317">
        <f t="shared" ref="H214" si="113">H215</f>
        <v>0</v>
      </c>
      <c r="I214" s="321" t="e">
        <f t="shared" si="109"/>
        <v>#DIV/0!</v>
      </c>
    </row>
    <row r="215" spans="1:9" ht="63" hidden="1" x14ac:dyDescent="0.25">
      <c r="A215" s="318" t="s">
        <v>268</v>
      </c>
      <c r="B215" s="315">
        <v>902</v>
      </c>
      <c r="C215" s="319" t="s">
        <v>259</v>
      </c>
      <c r="D215" s="319" t="s">
        <v>230</v>
      </c>
      <c r="E215" s="319" t="s">
        <v>269</v>
      </c>
      <c r="F215" s="319"/>
      <c r="G215" s="317">
        <f>G217</f>
        <v>0</v>
      </c>
      <c r="H215" s="317">
        <f t="shared" ref="H215" si="114">H217</f>
        <v>0</v>
      </c>
      <c r="I215" s="321" t="e">
        <f t="shared" si="109"/>
        <v>#DIV/0!</v>
      </c>
    </row>
    <row r="216" spans="1:9" s="211" customFormat="1" ht="31.5" hidden="1" x14ac:dyDescent="0.25">
      <c r="A216" s="34" t="s">
        <v>929</v>
      </c>
      <c r="B216" s="315">
        <v>902</v>
      </c>
      <c r="C216" s="319" t="s">
        <v>259</v>
      </c>
      <c r="D216" s="319" t="s">
        <v>230</v>
      </c>
      <c r="E216" s="319" t="s">
        <v>927</v>
      </c>
      <c r="F216" s="319"/>
      <c r="G216" s="317">
        <f>G217</f>
        <v>0</v>
      </c>
      <c r="H216" s="317">
        <f t="shared" ref="H216:H218" si="115">H217</f>
        <v>0</v>
      </c>
      <c r="I216" s="321" t="e">
        <f t="shared" si="109"/>
        <v>#DIV/0!</v>
      </c>
    </row>
    <row r="217" spans="1:9" ht="28.5" hidden="1" customHeight="1" x14ac:dyDescent="0.25">
      <c r="A217" s="349" t="s">
        <v>1472</v>
      </c>
      <c r="B217" s="346">
        <v>902</v>
      </c>
      <c r="C217" s="347" t="s">
        <v>259</v>
      </c>
      <c r="D217" s="347" t="s">
        <v>230</v>
      </c>
      <c r="E217" s="347" t="s">
        <v>1460</v>
      </c>
      <c r="F217" s="347"/>
      <c r="G217" s="321">
        <f>G218</f>
        <v>0</v>
      </c>
      <c r="H217" s="321">
        <f t="shared" si="115"/>
        <v>0</v>
      </c>
      <c r="I217" s="321" t="e">
        <f t="shared" si="109"/>
        <v>#DIV/0!</v>
      </c>
    </row>
    <row r="218" spans="1:9" ht="19.5" hidden="1" customHeight="1" x14ac:dyDescent="0.25">
      <c r="A218" s="349" t="s">
        <v>263</v>
      </c>
      <c r="B218" s="346">
        <v>902</v>
      </c>
      <c r="C218" s="347" t="s">
        <v>259</v>
      </c>
      <c r="D218" s="347" t="s">
        <v>230</v>
      </c>
      <c r="E218" s="347" t="s">
        <v>1460</v>
      </c>
      <c r="F218" s="347" t="s">
        <v>264</v>
      </c>
      <c r="G218" s="321">
        <f>G219</f>
        <v>0</v>
      </c>
      <c r="H218" s="321">
        <f t="shared" si="115"/>
        <v>0</v>
      </c>
      <c r="I218" s="321" t="e">
        <f t="shared" si="109"/>
        <v>#DIV/0!</v>
      </c>
    </row>
    <row r="219" spans="1:9" ht="31.5" hidden="1" x14ac:dyDescent="0.25">
      <c r="A219" s="349" t="s">
        <v>265</v>
      </c>
      <c r="B219" s="346">
        <v>902</v>
      </c>
      <c r="C219" s="347" t="s">
        <v>259</v>
      </c>
      <c r="D219" s="347" t="s">
        <v>230</v>
      </c>
      <c r="E219" s="347" t="s">
        <v>1460</v>
      </c>
      <c r="F219" s="347" t="s">
        <v>266</v>
      </c>
      <c r="G219" s="321">
        <f>10-10</f>
        <v>0</v>
      </c>
      <c r="H219" s="321">
        <f t="shared" ref="H219" si="116">10-10</f>
        <v>0</v>
      </c>
      <c r="I219" s="321" t="e">
        <f t="shared" si="109"/>
        <v>#DIV/0!</v>
      </c>
    </row>
    <row r="220" spans="1:9" ht="15.75" x14ac:dyDescent="0.25">
      <c r="A220" s="318" t="s">
        <v>273</v>
      </c>
      <c r="B220" s="315">
        <v>902</v>
      </c>
      <c r="C220" s="319" t="s">
        <v>259</v>
      </c>
      <c r="D220" s="319" t="s">
        <v>135</v>
      </c>
      <c r="E220" s="319"/>
      <c r="F220" s="319"/>
      <c r="G220" s="317">
        <f>G221</f>
        <v>3621.4</v>
      </c>
      <c r="H220" s="317">
        <f t="shared" ref="H220:H222" si="117">H221</f>
        <v>3175.30557</v>
      </c>
      <c r="I220" s="317">
        <f t="shared" si="109"/>
        <v>87.681713425746949</v>
      </c>
    </row>
    <row r="221" spans="1:9" ht="31.5" x14ac:dyDescent="0.25">
      <c r="A221" s="318" t="s">
        <v>988</v>
      </c>
      <c r="B221" s="315">
        <v>902</v>
      </c>
      <c r="C221" s="319" t="s">
        <v>259</v>
      </c>
      <c r="D221" s="319" t="s">
        <v>135</v>
      </c>
      <c r="E221" s="319" t="s">
        <v>902</v>
      </c>
      <c r="F221" s="319"/>
      <c r="G221" s="317">
        <f>G222</f>
        <v>3621.4</v>
      </c>
      <c r="H221" s="317">
        <f t="shared" si="117"/>
        <v>3175.30557</v>
      </c>
      <c r="I221" s="317">
        <f t="shared" si="109"/>
        <v>87.681713425746949</v>
      </c>
    </row>
    <row r="222" spans="1:9" ht="31.5" x14ac:dyDescent="0.25">
      <c r="A222" s="318" t="s">
        <v>930</v>
      </c>
      <c r="B222" s="315">
        <v>902</v>
      </c>
      <c r="C222" s="319" t="s">
        <v>259</v>
      </c>
      <c r="D222" s="319" t="s">
        <v>135</v>
      </c>
      <c r="E222" s="319" t="s">
        <v>907</v>
      </c>
      <c r="F222" s="319"/>
      <c r="G222" s="317">
        <f>G223</f>
        <v>3621.4</v>
      </c>
      <c r="H222" s="317">
        <f t="shared" si="117"/>
        <v>3175.30557</v>
      </c>
      <c r="I222" s="317">
        <f t="shared" si="109"/>
        <v>87.681713425746949</v>
      </c>
    </row>
    <row r="223" spans="1:9" ht="47.25" customHeight="1" x14ac:dyDescent="0.25">
      <c r="A223" s="31" t="s">
        <v>274</v>
      </c>
      <c r="B223" s="346">
        <v>902</v>
      </c>
      <c r="C223" s="347" t="s">
        <v>259</v>
      </c>
      <c r="D223" s="347" t="s">
        <v>135</v>
      </c>
      <c r="E223" s="347" t="s">
        <v>996</v>
      </c>
      <c r="F223" s="347"/>
      <c r="G223" s="321">
        <f>G224+G226</f>
        <v>3621.4</v>
      </c>
      <c r="H223" s="321">
        <f t="shared" ref="H223" si="118">H224+H226</f>
        <v>3175.30557</v>
      </c>
      <c r="I223" s="321">
        <f t="shared" si="109"/>
        <v>87.681713425746949</v>
      </c>
    </row>
    <row r="224" spans="1:9" ht="78.75" x14ac:dyDescent="0.25">
      <c r="A224" s="349" t="s">
        <v>142</v>
      </c>
      <c r="B224" s="346">
        <v>902</v>
      </c>
      <c r="C224" s="347" t="s">
        <v>259</v>
      </c>
      <c r="D224" s="347" t="s">
        <v>135</v>
      </c>
      <c r="E224" s="347" t="s">
        <v>996</v>
      </c>
      <c r="F224" s="347" t="s">
        <v>143</v>
      </c>
      <c r="G224" s="321">
        <f>G225</f>
        <v>3220.8</v>
      </c>
      <c r="H224" s="321">
        <f t="shared" ref="H224" si="119">H225</f>
        <v>2843.13996</v>
      </c>
      <c r="I224" s="321">
        <f t="shared" si="109"/>
        <v>88.274340536512668</v>
      </c>
    </row>
    <row r="225" spans="1:9" ht="31.5" x14ac:dyDescent="0.25">
      <c r="A225" s="349" t="s">
        <v>144</v>
      </c>
      <c r="B225" s="346">
        <v>902</v>
      </c>
      <c r="C225" s="347" t="s">
        <v>259</v>
      </c>
      <c r="D225" s="347" t="s">
        <v>135</v>
      </c>
      <c r="E225" s="347" t="s">
        <v>996</v>
      </c>
      <c r="F225" s="347" t="s">
        <v>145</v>
      </c>
      <c r="G225" s="339">
        <f>3353.3-132.5</f>
        <v>3220.8</v>
      </c>
      <c r="H225" s="339">
        <v>2843.13996</v>
      </c>
      <c r="I225" s="321">
        <f t="shared" si="109"/>
        <v>88.274340536512668</v>
      </c>
    </row>
    <row r="226" spans="1:9" ht="31.5" x14ac:dyDescent="0.25">
      <c r="A226" s="349" t="s">
        <v>146</v>
      </c>
      <c r="B226" s="346">
        <v>902</v>
      </c>
      <c r="C226" s="347" t="s">
        <v>259</v>
      </c>
      <c r="D226" s="347" t="s">
        <v>135</v>
      </c>
      <c r="E226" s="347" t="s">
        <v>996</v>
      </c>
      <c r="F226" s="347" t="s">
        <v>147</v>
      </c>
      <c r="G226" s="321">
        <f>G227</f>
        <v>400.6</v>
      </c>
      <c r="H226" s="321">
        <f t="shared" ref="H226" si="120">H227</f>
        <v>332.16561000000002</v>
      </c>
      <c r="I226" s="321">
        <f t="shared" si="109"/>
        <v>82.917026959560658</v>
      </c>
    </row>
    <row r="227" spans="1:9" ht="31.5" x14ac:dyDescent="0.25">
      <c r="A227" s="349" t="s">
        <v>148</v>
      </c>
      <c r="B227" s="346">
        <v>902</v>
      </c>
      <c r="C227" s="347" t="s">
        <v>259</v>
      </c>
      <c r="D227" s="347" t="s">
        <v>135</v>
      </c>
      <c r="E227" s="347" t="s">
        <v>996</v>
      </c>
      <c r="F227" s="347" t="s">
        <v>149</v>
      </c>
      <c r="G227" s="339">
        <f>268.1+132.5</f>
        <v>400.6</v>
      </c>
      <c r="H227" s="339">
        <v>332.16561000000002</v>
      </c>
      <c r="I227" s="321">
        <f t="shared" si="109"/>
        <v>82.917026959560658</v>
      </c>
    </row>
    <row r="228" spans="1:9" ht="48.75" customHeight="1" x14ac:dyDescent="0.25">
      <c r="A228" s="315" t="s">
        <v>276</v>
      </c>
      <c r="B228" s="315">
        <v>903</v>
      </c>
      <c r="C228" s="347"/>
      <c r="D228" s="347"/>
      <c r="E228" s="347"/>
      <c r="F228" s="347"/>
      <c r="G228" s="317">
        <f>G296+G360+G472+G229+G267+G501</f>
        <v>98062.413750000007</v>
      </c>
      <c r="H228" s="317">
        <f t="shared" ref="H228" si="121">H296+H360+H472+H229+H267+H501</f>
        <v>97004.342349999992</v>
      </c>
      <c r="I228" s="317">
        <f t="shared" si="109"/>
        <v>98.921022479930528</v>
      </c>
    </row>
    <row r="229" spans="1:9" ht="15.75" x14ac:dyDescent="0.25">
      <c r="A229" s="318" t="s">
        <v>132</v>
      </c>
      <c r="B229" s="315">
        <v>903</v>
      </c>
      <c r="C229" s="319" t="s">
        <v>133</v>
      </c>
      <c r="D229" s="347"/>
      <c r="E229" s="347"/>
      <c r="F229" s="347"/>
      <c r="G229" s="317">
        <f>G230</f>
        <v>185.99999999999997</v>
      </c>
      <c r="H229" s="317">
        <f t="shared" ref="H229" si="122">H230</f>
        <v>185.65600000000001</v>
      </c>
      <c r="I229" s="317">
        <f t="shared" si="109"/>
        <v>99.815053763440872</v>
      </c>
    </row>
    <row r="230" spans="1:9" ht="15.75" x14ac:dyDescent="0.25">
      <c r="A230" s="318" t="s">
        <v>154</v>
      </c>
      <c r="B230" s="315">
        <v>903</v>
      </c>
      <c r="C230" s="319" t="s">
        <v>133</v>
      </c>
      <c r="D230" s="319" t="s">
        <v>155</v>
      </c>
      <c r="E230" s="347"/>
      <c r="F230" s="347"/>
      <c r="G230" s="317">
        <f>G231+G240+G257+G262</f>
        <v>185.99999999999997</v>
      </c>
      <c r="H230" s="317">
        <f t="shared" ref="H230" si="123">H231+H240+H257+H262</f>
        <v>185.65600000000001</v>
      </c>
      <c r="I230" s="317">
        <f t="shared" si="109"/>
        <v>99.815053763440872</v>
      </c>
    </row>
    <row r="231" spans="1:9" ht="47.25" x14ac:dyDescent="0.25">
      <c r="A231" s="318" t="s">
        <v>358</v>
      </c>
      <c r="B231" s="315">
        <v>903</v>
      </c>
      <c r="C231" s="8" t="s">
        <v>133</v>
      </c>
      <c r="D231" s="8" t="s">
        <v>155</v>
      </c>
      <c r="E231" s="206" t="s">
        <v>359</v>
      </c>
      <c r="F231" s="8"/>
      <c r="G231" s="317">
        <f>G232</f>
        <v>144.39999999999998</v>
      </c>
      <c r="H231" s="317">
        <f t="shared" ref="H231:H232" si="124">H232</f>
        <v>144.27000000000001</v>
      </c>
      <c r="I231" s="317">
        <f t="shared" si="109"/>
        <v>99.909972299168999</v>
      </c>
    </row>
    <row r="232" spans="1:9" ht="81.75" customHeight="1" x14ac:dyDescent="0.25">
      <c r="A232" s="41" t="s">
        <v>395</v>
      </c>
      <c r="B232" s="315">
        <v>903</v>
      </c>
      <c r="C232" s="312" t="s">
        <v>133</v>
      </c>
      <c r="D232" s="312" t="s">
        <v>155</v>
      </c>
      <c r="E232" s="312" t="s">
        <v>396</v>
      </c>
      <c r="F232" s="312"/>
      <c r="G232" s="317">
        <f>G233</f>
        <v>144.39999999999998</v>
      </c>
      <c r="H232" s="317">
        <f t="shared" si="124"/>
        <v>144.27000000000001</v>
      </c>
      <c r="I232" s="317">
        <f t="shared" si="109"/>
        <v>99.909972299168999</v>
      </c>
    </row>
    <row r="233" spans="1:9" s="211" customFormat="1" ht="47.25" x14ac:dyDescent="0.25">
      <c r="A233" s="259" t="s">
        <v>1217</v>
      </c>
      <c r="B233" s="315">
        <v>903</v>
      </c>
      <c r="C233" s="312" t="s">
        <v>133</v>
      </c>
      <c r="D233" s="312" t="s">
        <v>155</v>
      </c>
      <c r="E233" s="312" t="s">
        <v>931</v>
      </c>
      <c r="F233" s="312"/>
      <c r="G233" s="317">
        <f>G234+G237</f>
        <v>144.39999999999998</v>
      </c>
      <c r="H233" s="317">
        <f t="shared" ref="H233" si="125">H234+H237</f>
        <v>144.27000000000001</v>
      </c>
      <c r="I233" s="317">
        <f t="shared" si="109"/>
        <v>99.909972299168999</v>
      </c>
    </row>
    <row r="234" spans="1:9" ht="31.5" x14ac:dyDescent="0.25">
      <c r="A234" s="99" t="s">
        <v>1294</v>
      </c>
      <c r="B234" s="346">
        <v>903</v>
      </c>
      <c r="C234" s="324" t="s">
        <v>133</v>
      </c>
      <c r="D234" s="324" t="s">
        <v>155</v>
      </c>
      <c r="E234" s="324" t="s">
        <v>932</v>
      </c>
      <c r="F234" s="324"/>
      <c r="G234" s="321">
        <f>G235</f>
        <v>144.39999999999998</v>
      </c>
      <c r="H234" s="321">
        <f t="shared" ref="H234:H235" si="126">H235</f>
        <v>144.27000000000001</v>
      </c>
      <c r="I234" s="321">
        <f t="shared" si="109"/>
        <v>99.909972299168999</v>
      </c>
    </row>
    <row r="235" spans="1:9" ht="31.5" x14ac:dyDescent="0.25">
      <c r="A235" s="323" t="s">
        <v>146</v>
      </c>
      <c r="B235" s="346">
        <v>903</v>
      </c>
      <c r="C235" s="324" t="s">
        <v>133</v>
      </c>
      <c r="D235" s="324" t="s">
        <v>155</v>
      </c>
      <c r="E235" s="324" t="s">
        <v>932</v>
      </c>
      <c r="F235" s="324" t="s">
        <v>147</v>
      </c>
      <c r="G235" s="321">
        <f>G236</f>
        <v>144.39999999999998</v>
      </c>
      <c r="H235" s="321">
        <f t="shared" si="126"/>
        <v>144.27000000000001</v>
      </c>
      <c r="I235" s="321">
        <f t="shared" si="109"/>
        <v>99.909972299168999</v>
      </c>
    </row>
    <row r="236" spans="1:9" ht="31.5" x14ac:dyDescent="0.25">
      <c r="A236" s="323" t="s">
        <v>148</v>
      </c>
      <c r="B236" s="346">
        <v>903</v>
      </c>
      <c r="C236" s="324" t="s">
        <v>133</v>
      </c>
      <c r="D236" s="324" t="s">
        <v>155</v>
      </c>
      <c r="E236" s="324" t="s">
        <v>932</v>
      </c>
      <c r="F236" s="324" t="s">
        <v>149</v>
      </c>
      <c r="G236" s="321">
        <f>60+128.7-15-40+5+5.7</f>
        <v>144.39999999999998</v>
      </c>
      <c r="H236" s="321">
        <v>144.27000000000001</v>
      </c>
      <c r="I236" s="321">
        <f t="shared" si="109"/>
        <v>99.909972299168999</v>
      </c>
    </row>
    <row r="237" spans="1:9" s="211" customFormat="1" ht="31.5" hidden="1" x14ac:dyDescent="0.25">
      <c r="A237" s="35" t="s">
        <v>934</v>
      </c>
      <c r="B237" s="346">
        <v>903</v>
      </c>
      <c r="C237" s="347" t="s">
        <v>133</v>
      </c>
      <c r="D237" s="347" t="s">
        <v>155</v>
      </c>
      <c r="E237" s="347" t="s">
        <v>933</v>
      </c>
      <c r="F237" s="319"/>
      <c r="G237" s="321">
        <f>G238</f>
        <v>0</v>
      </c>
      <c r="H237" s="321">
        <f t="shared" ref="H237:H238" si="127">H238</f>
        <v>0</v>
      </c>
      <c r="I237" s="321" t="e">
        <f t="shared" si="109"/>
        <v>#DIV/0!</v>
      </c>
    </row>
    <row r="238" spans="1:9" s="211" customFormat="1" ht="31.5" hidden="1" x14ac:dyDescent="0.25">
      <c r="A238" s="349" t="s">
        <v>146</v>
      </c>
      <c r="B238" s="346">
        <v>903</v>
      </c>
      <c r="C238" s="347" t="s">
        <v>133</v>
      </c>
      <c r="D238" s="347" t="s">
        <v>155</v>
      </c>
      <c r="E238" s="347" t="s">
        <v>933</v>
      </c>
      <c r="F238" s="347" t="s">
        <v>147</v>
      </c>
      <c r="G238" s="321">
        <f>G239</f>
        <v>0</v>
      </c>
      <c r="H238" s="321">
        <f t="shared" si="127"/>
        <v>0</v>
      </c>
      <c r="I238" s="321" t="e">
        <f t="shared" si="109"/>
        <v>#DIV/0!</v>
      </c>
    </row>
    <row r="239" spans="1:9" s="211" customFormat="1" ht="31.5" hidden="1" x14ac:dyDescent="0.25">
      <c r="A239" s="349" t="s">
        <v>148</v>
      </c>
      <c r="B239" s="346">
        <v>903</v>
      </c>
      <c r="C239" s="347" t="s">
        <v>133</v>
      </c>
      <c r="D239" s="347" t="s">
        <v>155</v>
      </c>
      <c r="E239" s="347" t="s">
        <v>933</v>
      </c>
      <c r="F239" s="347" t="s">
        <v>149</v>
      </c>
      <c r="G239" s="321">
        <v>0</v>
      </c>
      <c r="H239" s="321">
        <v>0</v>
      </c>
      <c r="I239" s="321" t="e">
        <f t="shared" si="109"/>
        <v>#DIV/0!</v>
      </c>
    </row>
    <row r="240" spans="1:9" ht="47.25" x14ac:dyDescent="0.25">
      <c r="A240" s="318" t="s">
        <v>349</v>
      </c>
      <c r="B240" s="315">
        <v>903</v>
      </c>
      <c r="C240" s="319" t="s">
        <v>133</v>
      </c>
      <c r="D240" s="319" t="s">
        <v>155</v>
      </c>
      <c r="E240" s="319" t="s">
        <v>350</v>
      </c>
      <c r="F240" s="319"/>
      <c r="G240" s="317">
        <f>G241</f>
        <v>16.2</v>
      </c>
      <c r="H240" s="317">
        <f t="shared" ref="H240" si="128">H241</f>
        <v>16.2</v>
      </c>
      <c r="I240" s="317">
        <f t="shared" si="109"/>
        <v>100</v>
      </c>
    </row>
    <row r="241" spans="1:9" s="211" customFormat="1" ht="31.5" x14ac:dyDescent="0.25">
      <c r="A241" s="318" t="s">
        <v>1223</v>
      </c>
      <c r="B241" s="315">
        <v>903</v>
      </c>
      <c r="C241" s="319" t="s">
        <v>133</v>
      </c>
      <c r="D241" s="319" t="s">
        <v>155</v>
      </c>
      <c r="E241" s="319" t="s">
        <v>1224</v>
      </c>
      <c r="F241" s="319"/>
      <c r="G241" s="317">
        <f>G242+G245+G248+G251+G254</f>
        <v>16.2</v>
      </c>
      <c r="H241" s="317">
        <f t="shared" ref="H241" si="129">H242+H245+H248+H251+H254</f>
        <v>16.2</v>
      </c>
      <c r="I241" s="317">
        <f t="shared" si="109"/>
        <v>100</v>
      </c>
    </row>
    <row r="242" spans="1:9" ht="31.5" hidden="1" x14ac:dyDescent="0.25">
      <c r="A242" s="98" t="s">
        <v>351</v>
      </c>
      <c r="B242" s="346">
        <v>903</v>
      </c>
      <c r="C242" s="347" t="s">
        <v>133</v>
      </c>
      <c r="D242" s="347" t="s">
        <v>155</v>
      </c>
      <c r="E242" s="347" t="s">
        <v>1225</v>
      </c>
      <c r="F242" s="347"/>
      <c r="G242" s="321">
        <f>G243</f>
        <v>0</v>
      </c>
      <c r="H242" s="321">
        <f t="shared" ref="H242:H243" si="130">H243</f>
        <v>0</v>
      </c>
      <c r="I242" s="321" t="e">
        <f t="shared" si="109"/>
        <v>#DIV/0!</v>
      </c>
    </row>
    <row r="243" spans="1:9" ht="31.5" hidden="1" x14ac:dyDescent="0.25">
      <c r="A243" s="349" t="s">
        <v>146</v>
      </c>
      <c r="B243" s="346">
        <v>903</v>
      </c>
      <c r="C243" s="347" t="s">
        <v>133</v>
      </c>
      <c r="D243" s="347" t="s">
        <v>155</v>
      </c>
      <c r="E243" s="347" t="s">
        <v>1225</v>
      </c>
      <c r="F243" s="347" t="s">
        <v>147</v>
      </c>
      <c r="G243" s="321">
        <f>G244</f>
        <v>0</v>
      </c>
      <c r="H243" s="321">
        <f t="shared" si="130"/>
        <v>0</v>
      </c>
      <c r="I243" s="321" t="e">
        <f t="shared" si="109"/>
        <v>#DIV/0!</v>
      </c>
    </row>
    <row r="244" spans="1:9" ht="31.5" hidden="1" x14ac:dyDescent="0.25">
      <c r="A244" s="349" t="s">
        <v>148</v>
      </c>
      <c r="B244" s="346">
        <v>903</v>
      </c>
      <c r="C244" s="347" t="s">
        <v>133</v>
      </c>
      <c r="D244" s="347" t="s">
        <v>155</v>
      </c>
      <c r="E244" s="347" t="s">
        <v>1225</v>
      </c>
      <c r="F244" s="347" t="s">
        <v>149</v>
      </c>
      <c r="G244" s="321">
        <v>0</v>
      </c>
      <c r="H244" s="321">
        <v>0</v>
      </c>
      <c r="I244" s="321" t="e">
        <f t="shared" si="109"/>
        <v>#DIV/0!</v>
      </c>
    </row>
    <row r="245" spans="1:9" ht="15.75" x14ac:dyDescent="0.25">
      <c r="A245" s="349" t="s">
        <v>353</v>
      </c>
      <c r="B245" s="346">
        <v>903</v>
      </c>
      <c r="C245" s="347" t="s">
        <v>133</v>
      </c>
      <c r="D245" s="347" t="s">
        <v>155</v>
      </c>
      <c r="E245" s="347" t="s">
        <v>1226</v>
      </c>
      <c r="F245" s="347"/>
      <c r="G245" s="321">
        <f>G246</f>
        <v>16.2</v>
      </c>
      <c r="H245" s="321">
        <f t="shared" ref="H245:H246" si="131">H246</f>
        <v>16.2</v>
      </c>
      <c r="I245" s="321">
        <f t="shared" si="109"/>
        <v>100</v>
      </c>
    </row>
    <row r="246" spans="1:9" ht="31.5" x14ac:dyDescent="0.25">
      <c r="A246" s="349" t="s">
        <v>146</v>
      </c>
      <c r="B246" s="346">
        <v>903</v>
      </c>
      <c r="C246" s="347" t="s">
        <v>133</v>
      </c>
      <c r="D246" s="347" t="s">
        <v>155</v>
      </c>
      <c r="E246" s="347" t="s">
        <v>1226</v>
      </c>
      <c r="F246" s="347" t="s">
        <v>147</v>
      </c>
      <c r="G246" s="321">
        <f>G247</f>
        <v>16.2</v>
      </c>
      <c r="H246" s="321">
        <f t="shared" si="131"/>
        <v>16.2</v>
      </c>
      <c r="I246" s="321">
        <f t="shared" si="109"/>
        <v>100</v>
      </c>
    </row>
    <row r="247" spans="1:9" ht="31.5" x14ac:dyDescent="0.25">
      <c r="A247" s="349" t="s">
        <v>148</v>
      </c>
      <c r="B247" s="346">
        <v>903</v>
      </c>
      <c r="C247" s="347" t="s">
        <v>133</v>
      </c>
      <c r="D247" s="347" t="s">
        <v>155</v>
      </c>
      <c r="E247" s="347" t="s">
        <v>1226</v>
      </c>
      <c r="F247" s="347" t="s">
        <v>149</v>
      </c>
      <c r="G247" s="321">
        <f>25-7-1.8</f>
        <v>16.2</v>
      </c>
      <c r="H247" s="321">
        <v>16.2</v>
      </c>
      <c r="I247" s="321">
        <f t="shared" si="109"/>
        <v>100</v>
      </c>
    </row>
    <row r="248" spans="1:9" ht="47.25" hidden="1" x14ac:dyDescent="0.25">
      <c r="A248" s="31" t="s">
        <v>792</v>
      </c>
      <c r="B248" s="346">
        <v>903</v>
      </c>
      <c r="C248" s="347" t="s">
        <v>133</v>
      </c>
      <c r="D248" s="347" t="s">
        <v>155</v>
      </c>
      <c r="E248" s="347" t="s">
        <v>1227</v>
      </c>
      <c r="F248" s="347"/>
      <c r="G248" s="321">
        <f>G249</f>
        <v>0</v>
      </c>
      <c r="H248" s="321">
        <f t="shared" ref="H248:H249" si="132">H249</f>
        <v>0</v>
      </c>
      <c r="I248" s="321" t="e">
        <f t="shared" si="109"/>
        <v>#DIV/0!</v>
      </c>
    </row>
    <row r="249" spans="1:9" ht="31.5" hidden="1" x14ac:dyDescent="0.25">
      <c r="A249" s="349" t="s">
        <v>146</v>
      </c>
      <c r="B249" s="346">
        <v>903</v>
      </c>
      <c r="C249" s="347" t="s">
        <v>133</v>
      </c>
      <c r="D249" s="347" t="s">
        <v>155</v>
      </c>
      <c r="E249" s="347" t="s">
        <v>1227</v>
      </c>
      <c r="F249" s="347" t="s">
        <v>147</v>
      </c>
      <c r="G249" s="321">
        <f>G250</f>
        <v>0</v>
      </c>
      <c r="H249" s="321">
        <f t="shared" si="132"/>
        <v>0</v>
      </c>
      <c r="I249" s="321" t="e">
        <f t="shared" si="109"/>
        <v>#DIV/0!</v>
      </c>
    </row>
    <row r="250" spans="1:9" ht="31.5" hidden="1" x14ac:dyDescent="0.25">
      <c r="A250" s="349" t="s">
        <v>148</v>
      </c>
      <c r="B250" s="346">
        <v>903</v>
      </c>
      <c r="C250" s="347" t="s">
        <v>133</v>
      </c>
      <c r="D250" s="347" t="s">
        <v>155</v>
      </c>
      <c r="E250" s="347" t="s">
        <v>1227</v>
      </c>
      <c r="F250" s="347" t="s">
        <v>149</v>
      </c>
      <c r="G250" s="321">
        <f>10-10</f>
        <v>0</v>
      </c>
      <c r="H250" s="321">
        <f t="shared" ref="H250" si="133">10-10</f>
        <v>0</v>
      </c>
      <c r="I250" s="321" t="e">
        <f t="shared" si="109"/>
        <v>#DIV/0!</v>
      </c>
    </row>
    <row r="251" spans="1:9" ht="15.75" hidden="1" x14ac:dyDescent="0.25">
      <c r="A251" s="349" t="s">
        <v>1142</v>
      </c>
      <c r="B251" s="346">
        <v>903</v>
      </c>
      <c r="C251" s="347" t="s">
        <v>133</v>
      </c>
      <c r="D251" s="347" t="s">
        <v>155</v>
      </c>
      <c r="E251" s="347" t="s">
        <v>1228</v>
      </c>
      <c r="F251" s="347"/>
      <c r="G251" s="321">
        <f>G252</f>
        <v>0</v>
      </c>
      <c r="H251" s="321">
        <f t="shared" ref="H251:H252" si="134">H252</f>
        <v>0</v>
      </c>
      <c r="I251" s="321" t="e">
        <f t="shared" si="109"/>
        <v>#DIV/0!</v>
      </c>
    </row>
    <row r="252" spans="1:9" ht="31.5" hidden="1" x14ac:dyDescent="0.25">
      <c r="A252" s="349" t="s">
        <v>146</v>
      </c>
      <c r="B252" s="346">
        <v>903</v>
      </c>
      <c r="C252" s="347" t="s">
        <v>133</v>
      </c>
      <c r="D252" s="347" t="s">
        <v>155</v>
      </c>
      <c r="E252" s="347" t="s">
        <v>1228</v>
      </c>
      <c r="F252" s="347" t="s">
        <v>147</v>
      </c>
      <c r="G252" s="321">
        <f>G253</f>
        <v>0</v>
      </c>
      <c r="H252" s="321">
        <f t="shared" si="134"/>
        <v>0</v>
      </c>
      <c r="I252" s="321" t="e">
        <f t="shared" si="109"/>
        <v>#DIV/0!</v>
      </c>
    </row>
    <row r="253" spans="1:9" ht="31.5" hidden="1" x14ac:dyDescent="0.25">
      <c r="A253" s="349" t="s">
        <v>148</v>
      </c>
      <c r="B253" s="346">
        <v>903</v>
      </c>
      <c r="C253" s="347" t="s">
        <v>133</v>
      </c>
      <c r="D253" s="347" t="s">
        <v>155</v>
      </c>
      <c r="E253" s="347" t="s">
        <v>1228</v>
      </c>
      <c r="F253" s="347" t="s">
        <v>149</v>
      </c>
      <c r="G253" s="321">
        <v>0</v>
      </c>
      <c r="H253" s="321">
        <v>0</v>
      </c>
      <c r="I253" s="321" t="e">
        <f t="shared" si="109"/>
        <v>#DIV/0!</v>
      </c>
    </row>
    <row r="254" spans="1:9" ht="47.25" hidden="1" customHeight="1" x14ac:dyDescent="0.25">
      <c r="A254" s="31" t="s">
        <v>793</v>
      </c>
      <c r="B254" s="346">
        <v>903</v>
      </c>
      <c r="C254" s="347" t="s">
        <v>133</v>
      </c>
      <c r="D254" s="347" t="s">
        <v>155</v>
      </c>
      <c r="E254" s="347" t="s">
        <v>1229</v>
      </c>
      <c r="F254" s="347"/>
      <c r="G254" s="321">
        <f>G255</f>
        <v>0</v>
      </c>
      <c r="H254" s="321">
        <f t="shared" ref="H254:H255" si="135">H255</f>
        <v>0</v>
      </c>
      <c r="I254" s="321" t="e">
        <f t="shared" si="109"/>
        <v>#DIV/0!</v>
      </c>
    </row>
    <row r="255" spans="1:9" ht="31.5" hidden="1" x14ac:dyDescent="0.25">
      <c r="A255" s="349" t="s">
        <v>146</v>
      </c>
      <c r="B255" s="346">
        <v>903</v>
      </c>
      <c r="C255" s="347" t="s">
        <v>133</v>
      </c>
      <c r="D255" s="347" t="s">
        <v>155</v>
      </c>
      <c r="E255" s="347" t="s">
        <v>1229</v>
      </c>
      <c r="F255" s="347" t="s">
        <v>147</v>
      </c>
      <c r="G255" s="321">
        <f>G256</f>
        <v>0</v>
      </c>
      <c r="H255" s="321">
        <f t="shared" si="135"/>
        <v>0</v>
      </c>
      <c r="I255" s="321" t="e">
        <f t="shared" si="109"/>
        <v>#DIV/0!</v>
      </c>
    </row>
    <row r="256" spans="1:9" ht="31.5" hidden="1" x14ac:dyDescent="0.25">
      <c r="A256" s="349" t="s">
        <v>148</v>
      </c>
      <c r="B256" s="346">
        <v>903</v>
      </c>
      <c r="C256" s="347" t="s">
        <v>133</v>
      </c>
      <c r="D256" s="347" t="s">
        <v>155</v>
      </c>
      <c r="E256" s="347" t="s">
        <v>1229</v>
      </c>
      <c r="F256" s="347" t="s">
        <v>149</v>
      </c>
      <c r="G256" s="321">
        <f>20-0.4-19.6</f>
        <v>0</v>
      </c>
      <c r="H256" s="321">
        <f t="shared" ref="H256" si="136">20-0.4-19.6</f>
        <v>0</v>
      </c>
      <c r="I256" s="321" t="e">
        <f t="shared" si="109"/>
        <v>#DIV/0!</v>
      </c>
    </row>
    <row r="257" spans="1:9" ht="47.25" x14ac:dyDescent="0.25">
      <c r="A257" s="41" t="s">
        <v>1177</v>
      </c>
      <c r="B257" s="315">
        <v>903</v>
      </c>
      <c r="C257" s="319" t="s">
        <v>133</v>
      </c>
      <c r="D257" s="319" t="s">
        <v>155</v>
      </c>
      <c r="E257" s="319" t="s">
        <v>726</v>
      </c>
      <c r="F257" s="319"/>
      <c r="G257" s="317">
        <f>G259</f>
        <v>5.4</v>
      </c>
      <c r="H257" s="317">
        <f t="shared" ref="H257" si="137">H259</f>
        <v>5.3360000000000003</v>
      </c>
      <c r="I257" s="317">
        <f t="shared" si="109"/>
        <v>98.81481481481481</v>
      </c>
    </row>
    <row r="258" spans="1:9" s="211" customFormat="1" ht="44.45" customHeight="1" x14ac:dyDescent="0.25">
      <c r="A258" s="216" t="s">
        <v>890</v>
      </c>
      <c r="B258" s="315">
        <v>903</v>
      </c>
      <c r="C258" s="319" t="s">
        <v>133</v>
      </c>
      <c r="D258" s="319" t="s">
        <v>155</v>
      </c>
      <c r="E258" s="319" t="s">
        <v>896</v>
      </c>
      <c r="F258" s="319"/>
      <c r="G258" s="317">
        <f>G259</f>
        <v>5.4</v>
      </c>
      <c r="H258" s="317">
        <f t="shared" ref="H258:H260" si="138">H259</f>
        <v>5.3360000000000003</v>
      </c>
      <c r="I258" s="317">
        <f t="shared" si="109"/>
        <v>98.81481481481481</v>
      </c>
    </row>
    <row r="259" spans="1:9" ht="31.5" x14ac:dyDescent="0.25">
      <c r="A259" s="99" t="s">
        <v>797</v>
      </c>
      <c r="B259" s="346">
        <v>903</v>
      </c>
      <c r="C259" s="347" t="s">
        <v>133</v>
      </c>
      <c r="D259" s="347" t="s">
        <v>155</v>
      </c>
      <c r="E259" s="347" t="s">
        <v>891</v>
      </c>
      <c r="F259" s="347"/>
      <c r="G259" s="321">
        <f>G260</f>
        <v>5.4</v>
      </c>
      <c r="H259" s="321">
        <f t="shared" si="138"/>
        <v>5.3360000000000003</v>
      </c>
      <c r="I259" s="321">
        <f t="shared" si="109"/>
        <v>98.81481481481481</v>
      </c>
    </row>
    <row r="260" spans="1:9" ht="31.5" x14ac:dyDescent="0.25">
      <c r="A260" s="349" t="s">
        <v>146</v>
      </c>
      <c r="B260" s="346">
        <v>903</v>
      </c>
      <c r="C260" s="347" t="s">
        <v>133</v>
      </c>
      <c r="D260" s="347" t="s">
        <v>155</v>
      </c>
      <c r="E260" s="347" t="s">
        <v>891</v>
      </c>
      <c r="F260" s="347" t="s">
        <v>147</v>
      </c>
      <c r="G260" s="321">
        <f>G261</f>
        <v>5.4</v>
      </c>
      <c r="H260" s="321">
        <f t="shared" si="138"/>
        <v>5.3360000000000003</v>
      </c>
      <c r="I260" s="321">
        <f t="shared" si="109"/>
        <v>98.81481481481481</v>
      </c>
    </row>
    <row r="261" spans="1:9" ht="31.5" x14ac:dyDescent="0.25">
      <c r="A261" s="349" t="s">
        <v>148</v>
      </c>
      <c r="B261" s="346">
        <v>903</v>
      </c>
      <c r="C261" s="347" t="s">
        <v>133</v>
      </c>
      <c r="D261" s="347" t="s">
        <v>155</v>
      </c>
      <c r="E261" s="347" t="s">
        <v>891</v>
      </c>
      <c r="F261" s="347" t="s">
        <v>149</v>
      </c>
      <c r="G261" s="321">
        <f>5+0.4-5.4+5.4</f>
        <v>5.4</v>
      </c>
      <c r="H261" s="321">
        <v>5.3360000000000003</v>
      </c>
      <c r="I261" s="321">
        <f t="shared" si="109"/>
        <v>98.81481481481481</v>
      </c>
    </row>
    <row r="262" spans="1:9" s="310" customFormat="1" ht="63" x14ac:dyDescent="0.25">
      <c r="A262" s="41" t="s">
        <v>1184</v>
      </c>
      <c r="B262" s="315">
        <v>903</v>
      </c>
      <c r="C262" s="8" t="s">
        <v>133</v>
      </c>
      <c r="D262" s="8" t="s">
        <v>155</v>
      </c>
      <c r="E262" s="206" t="s">
        <v>860</v>
      </c>
      <c r="F262" s="8"/>
      <c r="G262" s="317">
        <f>G264</f>
        <v>20</v>
      </c>
      <c r="H262" s="317">
        <f t="shared" ref="H262" si="139">H264</f>
        <v>19.850000000000001</v>
      </c>
      <c r="I262" s="317">
        <f t="shared" si="109"/>
        <v>99.25</v>
      </c>
    </row>
    <row r="263" spans="1:9" s="310" customFormat="1" ht="31.5" x14ac:dyDescent="0.25">
      <c r="A263" s="58" t="s">
        <v>900</v>
      </c>
      <c r="B263" s="315">
        <v>903</v>
      </c>
      <c r="C263" s="8" t="s">
        <v>133</v>
      </c>
      <c r="D263" s="8" t="s">
        <v>155</v>
      </c>
      <c r="E263" s="206" t="s">
        <v>908</v>
      </c>
      <c r="F263" s="8"/>
      <c r="G263" s="317">
        <f>G264</f>
        <v>20</v>
      </c>
      <c r="H263" s="317">
        <f t="shared" ref="H263:H265" si="140">H264</f>
        <v>19.850000000000001</v>
      </c>
      <c r="I263" s="317">
        <f t="shared" si="109"/>
        <v>99.25</v>
      </c>
    </row>
    <row r="264" spans="1:9" s="310" customFormat="1" ht="15.75" x14ac:dyDescent="0.25">
      <c r="A264" s="45" t="s">
        <v>865</v>
      </c>
      <c r="B264" s="346">
        <v>903</v>
      </c>
      <c r="C264" s="9" t="s">
        <v>133</v>
      </c>
      <c r="D264" s="9" t="s">
        <v>155</v>
      </c>
      <c r="E264" s="311" t="s">
        <v>901</v>
      </c>
      <c r="F264" s="9"/>
      <c r="G264" s="321">
        <f>G265</f>
        <v>20</v>
      </c>
      <c r="H264" s="321">
        <f t="shared" si="140"/>
        <v>19.850000000000001</v>
      </c>
      <c r="I264" s="321">
        <f t="shared" si="109"/>
        <v>99.25</v>
      </c>
    </row>
    <row r="265" spans="1:9" s="310" customFormat="1" ht="31.5" x14ac:dyDescent="0.25">
      <c r="A265" s="349" t="s">
        <v>146</v>
      </c>
      <c r="B265" s="346">
        <v>903</v>
      </c>
      <c r="C265" s="9" t="s">
        <v>133</v>
      </c>
      <c r="D265" s="9" t="s">
        <v>155</v>
      </c>
      <c r="E265" s="311" t="s">
        <v>901</v>
      </c>
      <c r="F265" s="9" t="s">
        <v>147</v>
      </c>
      <c r="G265" s="321">
        <f>G266</f>
        <v>20</v>
      </c>
      <c r="H265" s="321">
        <f t="shared" si="140"/>
        <v>19.850000000000001</v>
      </c>
      <c r="I265" s="321">
        <f t="shared" ref="I265:I328" si="141">H265/G265*100</f>
        <v>99.25</v>
      </c>
    </row>
    <row r="266" spans="1:9" s="310" customFormat="1" ht="31.5" x14ac:dyDescent="0.25">
      <c r="A266" s="349" t="s">
        <v>148</v>
      </c>
      <c r="B266" s="346">
        <v>903</v>
      </c>
      <c r="C266" s="9" t="s">
        <v>133</v>
      </c>
      <c r="D266" s="9" t="s">
        <v>155</v>
      </c>
      <c r="E266" s="311" t="s">
        <v>901</v>
      </c>
      <c r="F266" s="9" t="s">
        <v>149</v>
      </c>
      <c r="G266" s="321">
        <v>20</v>
      </c>
      <c r="H266" s="321">
        <v>19.850000000000001</v>
      </c>
      <c r="I266" s="321">
        <f t="shared" si="141"/>
        <v>99.25</v>
      </c>
    </row>
    <row r="267" spans="1:9" ht="21.2" hidden="1" customHeight="1" x14ac:dyDescent="0.25">
      <c r="A267" s="222" t="s">
        <v>247</v>
      </c>
      <c r="B267" s="315">
        <v>903</v>
      </c>
      <c r="C267" s="319" t="s">
        <v>165</v>
      </c>
      <c r="D267" s="347"/>
      <c r="E267" s="347"/>
      <c r="F267" s="32"/>
      <c r="G267" s="317">
        <f>G268</f>
        <v>0</v>
      </c>
      <c r="H267" s="317">
        <f t="shared" ref="H267:H269" si="142">H268</f>
        <v>0</v>
      </c>
      <c r="I267" s="321" t="e">
        <f t="shared" si="141"/>
        <v>#DIV/0!</v>
      </c>
    </row>
    <row r="268" spans="1:9" ht="21.2" hidden="1" customHeight="1" x14ac:dyDescent="0.25">
      <c r="A268" s="318" t="s">
        <v>252</v>
      </c>
      <c r="B268" s="315">
        <v>903</v>
      </c>
      <c r="C268" s="319" t="s">
        <v>165</v>
      </c>
      <c r="D268" s="319" t="s">
        <v>253</v>
      </c>
      <c r="E268" s="347"/>
      <c r="F268" s="32"/>
      <c r="G268" s="317">
        <f>G269</f>
        <v>0</v>
      </c>
      <c r="H268" s="317">
        <f t="shared" si="142"/>
        <v>0</v>
      </c>
      <c r="I268" s="321" t="e">
        <f t="shared" si="141"/>
        <v>#DIV/0!</v>
      </c>
    </row>
    <row r="269" spans="1:9" ht="47.25" hidden="1" customHeight="1" x14ac:dyDescent="0.25">
      <c r="A269" s="318" t="s">
        <v>358</v>
      </c>
      <c r="B269" s="315">
        <v>903</v>
      </c>
      <c r="C269" s="319" t="s">
        <v>165</v>
      </c>
      <c r="D269" s="319" t="s">
        <v>253</v>
      </c>
      <c r="E269" s="319" t="s">
        <v>359</v>
      </c>
      <c r="F269" s="228"/>
      <c r="G269" s="317">
        <f>G270</f>
        <v>0</v>
      </c>
      <c r="H269" s="317">
        <f t="shared" si="142"/>
        <v>0</v>
      </c>
      <c r="I269" s="321" t="e">
        <f t="shared" si="141"/>
        <v>#DIV/0!</v>
      </c>
    </row>
    <row r="270" spans="1:9" ht="53.45" hidden="1" customHeight="1" x14ac:dyDescent="0.25">
      <c r="A270" s="318" t="s">
        <v>382</v>
      </c>
      <c r="B270" s="315">
        <v>903</v>
      </c>
      <c r="C270" s="319" t="s">
        <v>165</v>
      </c>
      <c r="D270" s="319" t="s">
        <v>253</v>
      </c>
      <c r="E270" s="319" t="s">
        <v>383</v>
      </c>
      <c r="F270" s="319"/>
      <c r="G270" s="317">
        <f>G271+G278+G285+G292</f>
        <v>0</v>
      </c>
      <c r="H270" s="317">
        <f t="shared" ref="H270" si="143">H271+H278+H285+H292</f>
        <v>0</v>
      </c>
      <c r="I270" s="321" t="e">
        <f t="shared" si="141"/>
        <v>#DIV/0!</v>
      </c>
    </row>
    <row r="271" spans="1:9" s="211" customFormat="1" ht="33" hidden="1" customHeight="1" x14ac:dyDescent="0.25">
      <c r="A271" s="220" t="s">
        <v>1209</v>
      </c>
      <c r="B271" s="315">
        <v>903</v>
      </c>
      <c r="C271" s="319" t="s">
        <v>165</v>
      </c>
      <c r="D271" s="319" t="s">
        <v>253</v>
      </c>
      <c r="E271" s="319" t="s">
        <v>935</v>
      </c>
      <c r="F271" s="319"/>
      <c r="G271" s="317">
        <f>G272+G275</f>
        <v>0</v>
      </c>
      <c r="H271" s="317">
        <f t="shared" ref="H271" si="144">H272+H275</f>
        <v>0</v>
      </c>
      <c r="I271" s="321" t="e">
        <f t="shared" si="141"/>
        <v>#DIV/0!</v>
      </c>
    </row>
    <row r="272" spans="1:9" ht="47.25" hidden="1" customHeight="1" x14ac:dyDescent="0.25">
      <c r="A272" s="349" t="s">
        <v>1292</v>
      </c>
      <c r="B272" s="346">
        <v>903</v>
      </c>
      <c r="C272" s="347" t="s">
        <v>165</v>
      </c>
      <c r="D272" s="347" t="s">
        <v>253</v>
      </c>
      <c r="E272" s="347" t="s">
        <v>1210</v>
      </c>
      <c r="F272" s="347"/>
      <c r="G272" s="321">
        <f>G273</f>
        <v>0</v>
      </c>
      <c r="H272" s="321">
        <f t="shared" ref="H272:H273" si="145">H273</f>
        <v>0</v>
      </c>
      <c r="I272" s="321" t="e">
        <f t="shared" si="141"/>
        <v>#DIV/0!</v>
      </c>
    </row>
    <row r="273" spans="1:9" ht="21.2" hidden="1" customHeight="1" x14ac:dyDescent="0.25">
      <c r="A273" s="349" t="s">
        <v>263</v>
      </c>
      <c r="B273" s="346">
        <v>903</v>
      </c>
      <c r="C273" s="347" t="s">
        <v>165</v>
      </c>
      <c r="D273" s="347" t="s">
        <v>253</v>
      </c>
      <c r="E273" s="347" t="s">
        <v>1210</v>
      </c>
      <c r="F273" s="347" t="s">
        <v>264</v>
      </c>
      <c r="G273" s="321">
        <f>G274</f>
        <v>0</v>
      </c>
      <c r="H273" s="321">
        <f t="shared" si="145"/>
        <v>0</v>
      </c>
      <c r="I273" s="321" t="e">
        <f t="shared" si="141"/>
        <v>#DIV/0!</v>
      </c>
    </row>
    <row r="274" spans="1:9" ht="29.25" hidden="1" customHeight="1" x14ac:dyDescent="0.25">
      <c r="A274" s="349" t="s">
        <v>265</v>
      </c>
      <c r="B274" s="346">
        <v>903</v>
      </c>
      <c r="C274" s="347" t="s">
        <v>165</v>
      </c>
      <c r="D274" s="347" t="s">
        <v>253</v>
      </c>
      <c r="E274" s="347" t="s">
        <v>1210</v>
      </c>
      <c r="F274" s="347" t="s">
        <v>266</v>
      </c>
      <c r="G274" s="321">
        <v>0</v>
      </c>
      <c r="H274" s="321">
        <v>0</v>
      </c>
      <c r="I274" s="321" t="e">
        <f t="shared" si="141"/>
        <v>#DIV/0!</v>
      </c>
    </row>
    <row r="275" spans="1:9" s="211" customFormat="1" ht="50.25" hidden="1" customHeight="1" x14ac:dyDescent="0.25">
      <c r="A275" s="349" t="s">
        <v>390</v>
      </c>
      <c r="B275" s="346">
        <v>903</v>
      </c>
      <c r="C275" s="347" t="s">
        <v>165</v>
      </c>
      <c r="D275" s="347" t="s">
        <v>253</v>
      </c>
      <c r="E275" s="347" t="s">
        <v>1211</v>
      </c>
      <c r="F275" s="347"/>
      <c r="G275" s="321">
        <f>G276</f>
        <v>0</v>
      </c>
      <c r="H275" s="321">
        <f t="shared" ref="H275:H276" si="146">H276</f>
        <v>0</v>
      </c>
      <c r="I275" s="321" t="e">
        <f t="shared" si="141"/>
        <v>#DIV/0!</v>
      </c>
    </row>
    <row r="276" spans="1:9" s="211" customFormat="1" ht="21.75" hidden="1" customHeight="1" x14ac:dyDescent="0.25">
      <c r="A276" s="349" t="s">
        <v>263</v>
      </c>
      <c r="B276" s="346">
        <v>903</v>
      </c>
      <c r="C276" s="347" t="s">
        <v>165</v>
      </c>
      <c r="D276" s="347" t="s">
        <v>253</v>
      </c>
      <c r="E276" s="347" t="s">
        <v>1211</v>
      </c>
      <c r="F276" s="347" t="s">
        <v>264</v>
      </c>
      <c r="G276" s="321">
        <f>G277</f>
        <v>0</v>
      </c>
      <c r="H276" s="321">
        <f t="shared" si="146"/>
        <v>0</v>
      </c>
      <c r="I276" s="321" t="e">
        <f t="shared" si="141"/>
        <v>#DIV/0!</v>
      </c>
    </row>
    <row r="277" spans="1:9" s="211" customFormat="1" ht="29.25" hidden="1" customHeight="1" x14ac:dyDescent="0.25">
      <c r="A277" s="349" t="s">
        <v>265</v>
      </c>
      <c r="B277" s="346">
        <v>903</v>
      </c>
      <c r="C277" s="347" t="s">
        <v>165</v>
      </c>
      <c r="D277" s="347" t="s">
        <v>253</v>
      </c>
      <c r="E277" s="347" t="s">
        <v>1211</v>
      </c>
      <c r="F277" s="347" t="s">
        <v>266</v>
      </c>
      <c r="G277" s="321">
        <v>0</v>
      </c>
      <c r="H277" s="321">
        <v>0</v>
      </c>
      <c r="I277" s="321" t="e">
        <f t="shared" si="141"/>
        <v>#DIV/0!</v>
      </c>
    </row>
    <row r="278" spans="1:9" s="211" customFormat="1" ht="33" hidden="1" customHeight="1" x14ac:dyDescent="0.25">
      <c r="A278" s="318" t="s">
        <v>1207</v>
      </c>
      <c r="B278" s="315">
        <v>903</v>
      </c>
      <c r="C278" s="319" t="s">
        <v>165</v>
      </c>
      <c r="D278" s="319" t="s">
        <v>253</v>
      </c>
      <c r="E278" s="319" t="s">
        <v>936</v>
      </c>
      <c r="F278" s="319"/>
      <c r="G278" s="317">
        <f>G279+G282</f>
        <v>0</v>
      </c>
      <c r="H278" s="317">
        <f t="shared" ref="H278" si="147">H279+H282</f>
        <v>0</v>
      </c>
      <c r="I278" s="321" t="e">
        <f t="shared" si="141"/>
        <v>#DIV/0!</v>
      </c>
    </row>
    <row r="279" spans="1:9" s="211" customFormat="1" ht="18" hidden="1" customHeight="1" x14ac:dyDescent="0.25">
      <c r="A279" s="349" t="s">
        <v>1208</v>
      </c>
      <c r="B279" s="346">
        <v>903</v>
      </c>
      <c r="C279" s="347" t="s">
        <v>165</v>
      </c>
      <c r="D279" s="347" t="s">
        <v>253</v>
      </c>
      <c r="E279" s="347" t="s">
        <v>1212</v>
      </c>
      <c r="F279" s="347"/>
      <c r="G279" s="321">
        <f>G280</f>
        <v>0</v>
      </c>
      <c r="H279" s="321">
        <f t="shared" ref="H279:H280" si="148">H280</f>
        <v>0</v>
      </c>
      <c r="I279" s="321" t="e">
        <f t="shared" si="141"/>
        <v>#DIV/0!</v>
      </c>
    </row>
    <row r="280" spans="1:9" s="211" customFormat="1" ht="39.200000000000003" hidden="1" customHeight="1" x14ac:dyDescent="0.25">
      <c r="A280" s="349" t="s">
        <v>287</v>
      </c>
      <c r="B280" s="346">
        <v>903</v>
      </c>
      <c r="C280" s="347" t="s">
        <v>165</v>
      </c>
      <c r="D280" s="347" t="s">
        <v>253</v>
      </c>
      <c r="E280" s="347" t="s">
        <v>1212</v>
      </c>
      <c r="F280" s="347" t="s">
        <v>288</v>
      </c>
      <c r="G280" s="321">
        <f>G281</f>
        <v>0</v>
      </c>
      <c r="H280" s="321">
        <f t="shared" si="148"/>
        <v>0</v>
      </c>
      <c r="I280" s="321" t="e">
        <f t="shared" si="141"/>
        <v>#DIV/0!</v>
      </c>
    </row>
    <row r="281" spans="1:9" s="211" customFormat="1" ht="73.5" hidden="1" customHeight="1" x14ac:dyDescent="0.25">
      <c r="A281" s="349" t="s">
        <v>1286</v>
      </c>
      <c r="B281" s="346">
        <v>903</v>
      </c>
      <c r="C281" s="347" t="s">
        <v>165</v>
      </c>
      <c r="D281" s="347" t="s">
        <v>253</v>
      </c>
      <c r="E281" s="347" t="s">
        <v>1212</v>
      </c>
      <c r="F281" s="347" t="s">
        <v>387</v>
      </c>
      <c r="G281" s="321">
        <f>60-60</f>
        <v>0</v>
      </c>
      <c r="H281" s="321">
        <f t="shared" ref="H281" si="149">60-60</f>
        <v>0</v>
      </c>
      <c r="I281" s="321" t="e">
        <f t="shared" si="141"/>
        <v>#DIV/0!</v>
      </c>
    </row>
    <row r="282" spans="1:9" s="211" customFormat="1" ht="93.2" hidden="1" customHeight="1" x14ac:dyDescent="0.25">
      <c r="A282" s="349" t="s">
        <v>388</v>
      </c>
      <c r="B282" s="346">
        <v>903</v>
      </c>
      <c r="C282" s="347" t="s">
        <v>165</v>
      </c>
      <c r="D282" s="347" t="s">
        <v>253</v>
      </c>
      <c r="E282" s="347" t="s">
        <v>1213</v>
      </c>
      <c r="F282" s="347"/>
      <c r="G282" s="321">
        <f>G283</f>
        <v>0</v>
      </c>
      <c r="H282" s="321">
        <f t="shared" ref="H282:H283" si="150">H283</f>
        <v>0</v>
      </c>
      <c r="I282" s="321" t="e">
        <f t="shared" si="141"/>
        <v>#DIV/0!</v>
      </c>
    </row>
    <row r="283" spans="1:9" s="211" customFormat="1" ht="39.75" hidden="1" customHeight="1" x14ac:dyDescent="0.25">
      <c r="A283" s="349" t="s">
        <v>287</v>
      </c>
      <c r="B283" s="346">
        <v>903</v>
      </c>
      <c r="C283" s="347" t="s">
        <v>165</v>
      </c>
      <c r="D283" s="347" t="s">
        <v>253</v>
      </c>
      <c r="E283" s="347" t="s">
        <v>1213</v>
      </c>
      <c r="F283" s="347" t="s">
        <v>288</v>
      </c>
      <c r="G283" s="321">
        <f>G284</f>
        <v>0</v>
      </c>
      <c r="H283" s="321">
        <f t="shared" si="150"/>
        <v>0</v>
      </c>
      <c r="I283" s="321" t="e">
        <f t="shared" si="141"/>
        <v>#DIV/0!</v>
      </c>
    </row>
    <row r="284" spans="1:9" s="211" customFormat="1" ht="61.5" hidden="1" customHeight="1" x14ac:dyDescent="0.25">
      <c r="A284" s="349" t="s">
        <v>1286</v>
      </c>
      <c r="B284" s="346">
        <v>903</v>
      </c>
      <c r="C284" s="347" t="s">
        <v>165</v>
      </c>
      <c r="D284" s="347" t="s">
        <v>253</v>
      </c>
      <c r="E284" s="347" t="s">
        <v>1213</v>
      </c>
      <c r="F284" s="347" t="s">
        <v>387</v>
      </c>
      <c r="G284" s="321">
        <f>500-300-200</f>
        <v>0</v>
      </c>
      <c r="H284" s="321">
        <f t="shared" ref="H284" si="151">500-300-200</f>
        <v>0</v>
      </c>
      <c r="I284" s="321" t="e">
        <f t="shared" si="141"/>
        <v>#DIV/0!</v>
      </c>
    </row>
    <row r="285" spans="1:9" s="211" customFormat="1" ht="21.2" hidden="1" customHeight="1" x14ac:dyDescent="0.25">
      <c r="A285" s="318" t="s">
        <v>1143</v>
      </c>
      <c r="B285" s="315">
        <v>903</v>
      </c>
      <c r="C285" s="319" t="s">
        <v>165</v>
      </c>
      <c r="D285" s="319" t="s">
        <v>253</v>
      </c>
      <c r="E285" s="319" t="s">
        <v>937</v>
      </c>
      <c r="F285" s="319"/>
      <c r="G285" s="317">
        <f>G286+G289</f>
        <v>0</v>
      </c>
      <c r="H285" s="317">
        <f t="shared" ref="H285" si="152">H286+H289</f>
        <v>0</v>
      </c>
      <c r="I285" s="321" t="e">
        <f t="shared" si="141"/>
        <v>#DIV/0!</v>
      </c>
    </row>
    <row r="286" spans="1:9" s="211" customFormat="1" ht="41.25" hidden="1" customHeight="1" x14ac:dyDescent="0.25">
      <c r="A286" s="261" t="s">
        <v>1216</v>
      </c>
      <c r="B286" s="346">
        <v>903</v>
      </c>
      <c r="C286" s="347" t="s">
        <v>165</v>
      </c>
      <c r="D286" s="347" t="s">
        <v>253</v>
      </c>
      <c r="E286" s="347" t="s">
        <v>1214</v>
      </c>
      <c r="F286" s="347"/>
      <c r="G286" s="321">
        <f>G287</f>
        <v>0</v>
      </c>
      <c r="H286" s="321">
        <f t="shared" ref="H286:H287" si="153">H287</f>
        <v>0</v>
      </c>
      <c r="I286" s="321" t="e">
        <f t="shared" si="141"/>
        <v>#DIV/0!</v>
      </c>
    </row>
    <row r="287" spans="1:9" s="211" customFormat="1" ht="29.25" hidden="1" customHeight="1" x14ac:dyDescent="0.25">
      <c r="A287" s="349" t="s">
        <v>146</v>
      </c>
      <c r="B287" s="346">
        <v>903</v>
      </c>
      <c r="C287" s="347" t="s">
        <v>165</v>
      </c>
      <c r="D287" s="347" t="s">
        <v>253</v>
      </c>
      <c r="E287" s="347" t="s">
        <v>1214</v>
      </c>
      <c r="F287" s="347" t="s">
        <v>147</v>
      </c>
      <c r="G287" s="321">
        <f>G288</f>
        <v>0</v>
      </c>
      <c r="H287" s="321">
        <f t="shared" si="153"/>
        <v>0</v>
      </c>
      <c r="I287" s="321" t="e">
        <f t="shared" si="141"/>
        <v>#DIV/0!</v>
      </c>
    </row>
    <row r="288" spans="1:9" s="211" customFormat="1" ht="29.25" hidden="1" customHeight="1" x14ac:dyDescent="0.25">
      <c r="A288" s="349" t="s">
        <v>148</v>
      </c>
      <c r="B288" s="346">
        <v>903</v>
      </c>
      <c r="C288" s="347" t="s">
        <v>165</v>
      </c>
      <c r="D288" s="347" t="s">
        <v>253</v>
      </c>
      <c r="E288" s="347" t="s">
        <v>1214</v>
      </c>
      <c r="F288" s="347" t="s">
        <v>149</v>
      </c>
      <c r="G288" s="321">
        <v>0</v>
      </c>
      <c r="H288" s="321">
        <v>0</v>
      </c>
      <c r="I288" s="321" t="e">
        <f t="shared" si="141"/>
        <v>#DIV/0!</v>
      </c>
    </row>
    <row r="289" spans="1:9" s="211" customFormat="1" ht="29.25" hidden="1" customHeight="1" x14ac:dyDescent="0.25">
      <c r="A289" s="349" t="s">
        <v>392</v>
      </c>
      <c r="B289" s="346">
        <v>903</v>
      </c>
      <c r="C289" s="347" t="s">
        <v>165</v>
      </c>
      <c r="D289" s="347" t="s">
        <v>253</v>
      </c>
      <c r="E289" s="347" t="s">
        <v>1215</v>
      </c>
      <c r="F289" s="347"/>
      <c r="G289" s="321">
        <f>G290</f>
        <v>0</v>
      </c>
      <c r="H289" s="321">
        <f t="shared" ref="H289:H290" si="154">H290</f>
        <v>0</v>
      </c>
      <c r="I289" s="321" t="e">
        <f t="shared" si="141"/>
        <v>#DIV/0!</v>
      </c>
    </row>
    <row r="290" spans="1:9" s="211" customFormat="1" ht="29.25" hidden="1" customHeight="1" x14ac:dyDescent="0.25">
      <c r="A290" s="349" t="s">
        <v>146</v>
      </c>
      <c r="B290" s="346">
        <v>903</v>
      </c>
      <c r="C290" s="347" t="s">
        <v>165</v>
      </c>
      <c r="D290" s="347" t="s">
        <v>253</v>
      </c>
      <c r="E290" s="347" t="s">
        <v>1215</v>
      </c>
      <c r="F290" s="347" t="s">
        <v>147</v>
      </c>
      <c r="G290" s="321">
        <f>G291</f>
        <v>0</v>
      </c>
      <c r="H290" s="321">
        <f t="shared" si="154"/>
        <v>0</v>
      </c>
      <c r="I290" s="321" t="e">
        <f t="shared" si="141"/>
        <v>#DIV/0!</v>
      </c>
    </row>
    <row r="291" spans="1:9" s="211" customFormat="1" ht="29.25" hidden="1" customHeight="1" x14ac:dyDescent="0.25">
      <c r="A291" s="349" t="s">
        <v>148</v>
      </c>
      <c r="B291" s="346">
        <v>903</v>
      </c>
      <c r="C291" s="347" t="s">
        <v>165</v>
      </c>
      <c r="D291" s="347" t="s">
        <v>253</v>
      </c>
      <c r="E291" s="347" t="s">
        <v>1215</v>
      </c>
      <c r="F291" s="347" t="s">
        <v>149</v>
      </c>
      <c r="G291" s="321">
        <v>0</v>
      </c>
      <c r="H291" s="321">
        <v>0</v>
      </c>
      <c r="I291" s="321" t="e">
        <f t="shared" si="141"/>
        <v>#DIV/0!</v>
      </c>
    </row>
    <row r="292" spans="1:9" s="211" customFormat="1" ht="33.75" hidden="1" customHeight="1" x14ac:dyDescent="0.25">
      <c r="A292" s="217" t="s">
        <v>1304</v>
      </c>
      <c r="B292" s="315">
        <v>903</v>
      </c>
      <c r="C292" s="319" t="s">
        <v>165</v>
      </c>
      <c r="D292" s="319" t="s">
        <v>253</v>
      </c>
      <c r="E292" s="319" t="s">
        <v>1303</v>
      </c>
      <c r="F292" s="319"/>
      <c r="G292" s="317">
        <f>G293</f>
        <v>0</v>
      </c>
      <c r="H292" s="317">
        <f t="shared" ref="H292:H294" si="155">H293</f>
        <v>0</v>
      </c>
      <c r="I292" s="321" t="e">
        <f t="shared" si="141"/>
        <v>#DIV/0!</v>
      </c>
    </row>
    <row r="293" spans="1:9" s="211" customFormat="1" ht="29.25" hidden="1" customHeight="1" x14ac:dyDescent="0.25">
      <c r="A293" s="239" t="s">
        <v>1362</v>
      </c>
      <c r="B293" s="346">
        <v>903</v>
      </c>
      <c r="C293" s="347" t="s">
        <v>165</v>
      </c>
      <c r="D293" s="347" t="s">
        <v>253</v>
      </c>
      <c r="E293" s="347" t="s">
        <v>1352</v>
      </c>
      <c r="F293" s="347"/>
      <c r="G293" s="321">
        <f>G294</f>
        <v>0</v>
      </c>
      <c r="H293" s="321">
        <f t="shared" si="155"/>
        <v>0</v>
      </c>
      <c r="I293" s="321" t="e">
        <f t="shared" si="141"/>
        <v>#DIV/0!</v>
      </c>
    </row>
    <row r="294" spans="1:9" s="211" customFormat="1" ht="29.25" hidden="1" customHeight="1" x14ac:dyDescent="0.25">
      <c r="A294" s="349" t="s">
        <v>146</v>
      </c>
      <c r="B294" s="346">
        <v>903</v>
      </c>
      <c r="C294" s="347" t="s">
        <v>165</v>
      </c>
      <c r="D294" s="347" t="s">
        <v>253</v>
      </c>
      <c r="E294" s="347" t="s">
        <v>1352</v>
      </c>
      <c r="F294" s="347" t="s">
        <v>147</v>
      </c>
      <c r="G294" s="321">
        <f>G295</f>
        <v>0</v>
      </c>
      <c r="H294" s="321">
        <f t="shared" si="155"/>
        <v>0</v>
      </c>
      <c r="I294" s="321" t="e">
        <f t="shared" si="141"/>
        <v>#DIV/0!</v>
      </c>
    </row>
    <row r="295" spans="1:9" s="211" customFormat="1" ht="29.25" hidden="1" customHeight="1" x14ac:dyDescent="0.25">
      <c r="A295" s="349" t="s">
        <v>148</v>
      </c>
      <c r="B295" s="346">
        <v>903</v>
      </c>
      <c r="C295" s="347" t="s">
        <v>165</v>
      </c>
      <c r="D295" s="347" t="s">
        <v>253</v>
      </c>
      <c r="E295" s="347" t="s">
        <v>1352</v>
      </c>
      <c r="F295" s="347" t="s">
        <v>149</v>
      </c>
      <c r="G295" s="321">
        <f>10-10</f>
        <v>0</v>
      </c>
      <c r="H295" s="321">
        <f t="shared" ref="H295" si="156">10-10</f>
        <v>0</v>
      </c>
      <c r="I295" s="321" t="e">
        <f t="shared" si="141"/>
        <v>#DIV/0!</v>
      </c>
    </row>
    <row r="296" spans="1:9" ht="15.75" x14ac:dyDescent="0.25">
      <c r="A296" s="318" t="s">
        <v>278</v>
      </c>
      <c r="B296" s="315">
        <v>903</v>
      </c>
      <c r="C296" s="319" t="s">
        <v>279</v>
      </c>
      <c r="D296" s="347"/>
      <c r="E296" s="347"/>
      <c r="F296" s="347"/>
      <c r="G296" s="317">
        <f>G297+G340</f>
        <v>16703.699999999997</v>
      </c>
      <c r="H296" s="317">
        <f t="shared" ref="H296" si="157">H297+H340</f>
        <v>16243.999040000001</v>
      </c>
      <c r="I296" s="317">
        <f t="shared" si="141"/>
        <v>97.247909385345793</v>
      </c>
    </row>
    <row r="297" spans="1:9" ht="15.75" x14ac:dyDescent="0.25">
      <c r="A297" s="318" t="s">
        <v>280</v>
      </c>
      <c r="B297" s="315">
        <v>903</v>
      </c>
      <c r="C297" s="319" t="s">
        <v>279</v>
      </c>
      <c r="D297" s="319" t="s">
        <v>230</v>
      </c>
      <c r="E297" s="319"/>
      <c r="F297" s="319"/>
      <c r="G297" s="317">
        <f>G298+G335</f>
        <v>16322.899999999998</v>
      </c>
      <c r="H297" s="317">
        <f t="shared" ref="H297" si="158">H298+H335</f>
        <v>15863.330040000001</v>
      </c>
      <c r="I297" s="317">
        <f t="shared" si="141"/>
        <v>97.184507899944279</v>
      </c>
    </row>
    <row r="298" spans="1:9" ht="31.5" x14ac:dyDescent="0.25">
      <c r="A298" s="318" t="s">
        <v>281</v>
      </c>
      <c r="B298" s="315">
        <v>903</v>
      </c>
      <c r="C298" s="319" t="s">
        <v>279</v>
      </c>
      <c r="D298" s="319" t="s">
        <v>230</v>
      </c>
      <c r="E298" s="319" t="s">
        <v>282</v>
      </c>
      <c r="F298" s="319"/>
      <c r="G298" s="317">
        <f>G299</f>
        <v>15995.499999999998</v>
      </c>
      <c r="H298" s="317">
        <f t="shared" ref="H298" si="159">H299</f>
        <v>15536.00756</v>
      </c>
      <c r="I298" s="317">
        <f t="shared" si="141"/>
        <v>97.127364321215353</v>
      </c>
    </row>
    <row r="299" spans="1:9" ht="47.25" x14ac:dyDescent="0.25">
      <c r="A299" s="318" t="s">
        <v>283</v>
      </c>
      <c r="B299" s="315">
        <v>903</v>
      </c>
      <c r="C299" s="319" t="s">
        <v>279</v>
      </c>
      <c r="D299" s="319" t="s">
        <v>230</v>
      </c>
      <c r="E299" s="319" t="s">
        <v>284</v>
      </c>
      <c r="F299" s="319"/>
      <c r="G299" s="317">
        <f>G300+G308+G312+G322+G318</f>
        <v>15995.499999999998</v>
      </c>
      <c r="H299" s="317">
        <f t="shared" ref="H299" si="160">H300+H308+H312+H322+H318</f>
        <v>15536.00756</v>
      </c>
      <c r="I299" s="317">
        <f t="shared" si="141"/>
        <v>97.127364321215353</v>
      </c>
    </row>
    <row r="300" spans="1:9" s="211" customFormat="1" ht="31.5" x14ac:dyDescent="0.25">
      <c r="A300" s="318" t="s">
        <v>939</v>
      </c>
      <c r="B300" s="315">
        <v>903</v>
      </c>
      <c r="C300" s="319" t="s">
        <v>279</v>
      </c>
      <c r="D300" s="319" t="s">
        <v>230</v>
      </c>
      <c r="E300" s="319" t="s">
        <v>940</v>
      </c>
      <c r="F300" s="319"/>
      <c r="G300" s="44">
        <f>G301</f>
        <v>14592.599999999999</v>
      </c>
      <c r="H300" s="44">
        <f t="shared" ref="H300" si="161">H301</f>
        <v>14417.03911</v>
      </c>
      <c r="I300" s="317">
        <f t="shared" si="141"/>
        <v>98.796918369584603</v>
      </c>
    </row>
    <row r="301" spans="1:9" s="211" customFormat="1" ht="15.75" x14ac:dyDescent="0.25">
      <c r="A301" s="349" t="s">
        <v>830</v>
      </c>
      <c r="B301" s="346">
        <v>903</v>
      </c>
      <c r="C301" s="347" t="s">
        <v>279</v>
      </c>
      <c r="D301" s="347" t="s">
        <v>230</v>
      </c>
      <c r="E301" s="347" t="s">
        <v>938</v>
      </c>
      <c r="F301" s="347"/>
      <c r="G301" s="339">
        <f>G302+G304+G306</f>
        <v>14592.599999999999</v>
      </c>
      <c r="H301" s="339">
        <f t="shared" ref="H301" si="162">H302+H304+H306</f>
        <v>14417.03911</v>
      </c>
      <c r="I301" s="321">
        <f t="shared" si="141"/>
        <v>98.796918369584603</v>
      </c>
    </row>
    <row r="302" spans="1:9" s="211" customFormat="1" ht="78.75" x14ac:dyDescent="0.25">
      <c r="A302" s="349" t="s">
        <v>142</v>
      </c>
      <c r="B302" s="346">
        <v>903</v>
      </c>
      <c r="C302" s="347" t="s">
        <v>279</v>
      </c>
      <c r="D302" s="347" t="s">
        <v>230</v>
      </c>
      <c r="E302" s="347" t="s">
        <v>938</v>
      </c>
      <c r="F302" s="347" t="s">
        <v>143</v>
      </c>
      <c r="G302" s="339">
        <f>G303</f>
        <v>12446.599999999999</v>
      </c>
      <c r="H302" s="339">
        <f t="shared" ref="H302" si="163">H303</f>
        <v>12446.168750000001</v>
      </c>
      <c r="I302" s="321">
        <f t="shared" si="141"/>
        <v>99.99653519836744</v>
      </c>
    </row>
    <row r="303" spans="1:9" s="211" customFormat="1" ht="15.75" x14ac:dyDescent="0.25">
      <c r="A303" s="46" t="s">
        <v>357</v>
      </c>
      <c r="B303" s="346">
        <v>903</v>
      </c>
      <c r="C303" s="347" t="s">
        <v>279</v>
      </c>
      <c r="D303" s="347" t="s">
        <v>230</v>
      </c>
      <c r="E303" s="347" t="s">
        <v>938</v>
      </c>
      <c r="F303" s="347" t="s">
        <v>224</v>
      </c>
      <c r="G303" s="339">
        <f>13393+19.5-850+145.7+74+102.3+57.2+12+1+442-510.1-74-57.2-51.7-294.4-36.7+59.6+4.2+21.9+6-17-0.7</f>
        <v>12446.599999999999</v>
      </c>
      <c r="H303" s="339">
        <v>12446.168750000001</v>
      </c>
      <c r="I303" s="321">
        <f t="shared" si="141"/>
        <v>99.99653519836744</v>
      </c>
    </row>
    <row r="304" spans="1:9" s="211" customFormat="1" ht="31.5" x14ac:dyDescent="0.25">
      <c r="A304" s="349" t="s">
        <v>146</v>
      </c>
      <c r="B304" s="346">
        <v>903</v>
      </c>
      <c r="C304" s="347" t="s">
        <v>279</v>
      </c>
      <c r="D304" s="347" t="s">
        <v>230</v>
      </c>
      <c r="E304" s="347" t="s">
        <v>938</v>
      </c>
      <c r="F304" s="347" t="s">
        <v>147</v>
      </c>
      <c r="G304" s="339">
        <f>G305</f>
        <v>2072.9999999999991</v>
      </c>
      <c r="H304" s="339">
        <f t="shared" ref="H304" si="164">H305</f>
        <v>1898.0073600000001</v>
      </c>
      <c r="I304" s="321">
        <f t="shared" si="141"/>
        <v>91.558483357453014</v>
      </c>
    </row>
    <row r="305" spans="1:9" s="211" customFormat="1" ht="31.5" x14ac:dyDescent="0.25">
      <c r="A305" s="349" t="s">
        <v>148</v>
      </c>
      <c r="B305" s="346">
        <v>903</v>
      </c>
      <c r="C305" s="347" t="s">
        <v>279</v>
      </c>
      <c r="D305" s="347" t="s">
        <v>230</v>
      </c>
      <c r="E305" s="347" t="s">
        <v>938</v>
      </c>
      <c r="F305" s="347" t="s">
        <v>149</v>
      </c>
      <c r="G305" s="339">
        <f>1540+140+290-19.5+238+72-15-10-58.3-20-11.4+7.6-14.3-30.8-33.3-2</f>
        <v>2072.9999999999991</v>
      </c>
      <c r="H305" s="339">
        <v>1898.0073600000001</v>
      </c>
      <c r="I305" s="321">
        <f t="shared" si="141"/>
        <v>91.558483357453014</v>
      </c>
    </row>
    <row r="306" spans="1:9" s="211" customFormat="1" ht="15.75" x14ac:dyDescent="0.25">
      <c r="A306" s="349" t="s">
        <v>150</v>
      </c>
      <c r="B306" s="346">
        <v>903</v>
      </c>
      <c r="C306" s="347" t="s">
        <v>279</v>
      </c>
      <c r="D306" s="347" t="s">
        <v>230</v>
      </c>
      <c r="E306" s="347" t="s">
        <v>938</v>
      </c>
      <c r="F306" s="347" t="s">
        <v>160</v>
      </c>
      <c r="G306" s="339">
        <f>G307</f>
        <v>73</v>
      </c>
      <c r="H306" s="339">
        <f t="shared" ref="H306" si="165">H307</f>
        <v>72.863</v>
      </c>
      <c r="I306" s="321">
        <f t="shared" si="141"/>
        <v>99.812328767123276</v>
      </c>
    </row>
    <row r="307" spans="1:9" s="211" customFormat="1" ht="15.75" x14ac:dyDescent="0.25">
      <c r="A307" s="349" t="s">
        <v>725</v>
      </c>
      <c r="B307" s="346">
        <v>903</v>
      </c>
      <c r="C307" s="347" t="s">
        <v>279</v>
      </c>
      <c r="D307" s="347" t="s">
        <v>230</v>
      </c>
      <c r="E307" s="347" t="s">
        <v>938</v>
      </c>
      <c r="F307" s="347" t="s">
        <v>153</v>
      </c>
      <c r="G307" s="339">
        <f>78.6-0.6+4.2-0.1-10-9.2+10.1</f>
        <v>73</v>
      </c>
      <c r="H307" s="339">
        <v>72.863</v>
      </c>
      <c r="I307" s="321">
        <f t="shared" si="141"/>
        <v>99.812328767123276</v>
      </c>
    </row>
    <row r="308" spans="1:9" s="211" customFormat="1" ht="31.5" x14ac:dyDescent="0.25">
      <c r="A308" s="221" t="s">
        <v>1187</v>
      </c>
      <c r="B308" s="315">
        <v>903</v>
      </c>
      <c r="C308" s="319" t="s">
        <v>279</v>
      </c>
      <c r="D308" s="319" t="s">
        <v>230</v>
      </c>
      <c r="E308" s="319" t="s">
        <v>942</v>
      </c>
      <c r="F308" s="319"/>
      <c r="G308" s="44">
        <f>G309</f>
        <v>45</v>
      </c>
      <c r="H308" s="44">
        <f t="shared" ref="H308:H310" si="166">H309</f>
        <v>45</v>
      </c>
      <c r="I308" s="317">
        <f t="shared" si="141"/>
        <v>100</v>
      </c>
    </row>
    <row r="309" spans="1:9" ht="15.75" x14ac:dyDescent="0.25">
      <c r="A309" s="207" t="s">
        <v>829</v>
      </c>
      <c r="B309" s="346">
        <v>903</v>
      </c>
      <c r="C309" s="347" t="s">
        <v>279</v>
      </c>
      <c r="D309" s="347" t="s">
        <v>230</v>
      </c>
      <c r="E309" s="347" t="s">
        <v>941</v>
      </c>
      <c r="F309" s="347"/>
      <c r="G309" s="339">
        <f>G310</f>
        <v>45</v>
      </c>
      <c r="H309" s="339">
        <f t="shared" si="166"/>
        <v>45</v>
      </c>
      <c r="I309" s="321">
        <f t="shared" si="141"/>
        <v>100</v>
      </c>
    </row>
    <row r="310" spans="1:9" ht="15.75" x14ac:dyDescent="0.25">
      <c r="A310" s="349" t="s">
        <v>263</v>
      </c>
      <c r="B310" s="346">
        <v>903</v>
      </c>
      <c r="C310" s="347" t="s">
        <v>279</v>
      </c>
      <c r="D310" s="347" t="s">
        <v>230</v>
      </c>
      <c r="E310" s="347" t="s">
        <v>941</v>
      </c>
      <c r="F310" s="347" t="s">
        <v>264</v>
      </c>
      <c r="G310" s="339">
        <f>G311</f>
        <v>45</v>
      </c>
      <c r="H310" s="339">
        <f t="shared" si="166"/>
        <v>45</v>
      </c>
      <c r="I310" s="321">
        <f t="shared" si="141"/>
        <v>100</v>
      </c>
    </row>
    <row r="311" spans="1:9" ht="15.75" x14ac:dyDescent="0.25">
      <c r="A311" s="349" t="s">
        <v>863</v>
      </c>
      <c r="B311" s="346">
        <v>903</v>
      </c>
      <c r="C311" s="347" t="s">
        <v>279</v>
      </c>
      <c r="D311" s="347" t="s">
        <v>230</v>
      </c>
      <c r="E311" s="347" t="s">
        <v>941</v>
      </c>
      <c r="F311" s="347" t="s">
        <v>862</v>
      </c>
      <c r="G311" s="339">
        <v>45</v>
      </c>
      <c r="H311" s="339">
        <v>45</v>
      </c>
      <c r="I311" s="321">
        <f t="shared" si="141"/>
        <v>100</v>
      </c>
    </row>
    <row r="312" spans="1:9" s="211" customFormat="1" ht="45" customHeight="1" x14ac:dyDescent="0.25">
      <c r="A312" s="226" t="s">
        <v>1166</v>
      </c>
      <c r="B312" s="315">
        <v>903</v>
      </c>
      <c r="C312" s="319" t="s">
        <v>279</v>
      </c>
      <c r="D312" s="319" t="s">
        <v>230</v>
      </c>
      <c r="E312" s="319" t="s">
        <v>943</v>
      </c>
      <c r="F312" s="319"/>
      <c r="G312" s="317">
        <f>G313</f>
        <v>66.90000000000002</v>
      </c>
      <c r="H312" s="317">
        <f t="shared" ref="H312" si="167">H313</f>
        <v>66.849999999999994</v>
      </c>
      <c r="I312" s="317">
        <f t="shared" si="141"/>
        <v>99.925261584454375</v>
      </c>
    </row>
    <row r="313" spans="1:9" ht="36" customHeight="1" x14ac:dyDescent="0.25">
      <c r="A313" s="31" t="s">
        <v>858</v>
      </c>
      <c r="B313" s="346">
        <v>903</v>
      </c>
      <c r="C313" s="347" t="s">
        <v>279</v>
      </c>
      <c r="D313" s="347" t="s">
        <v>230</v>
      </c>
      <c r="E313" s="347" t="s">
        <v>944</v>
      </c>
      <c r="F313" s="347"/>
      <c r="G313" s="339">
        <f>G316+G314</f>
        <v>66.90000000000002</v>
      </c>
      <c r="H313" s="339">
        <f t="shared" ref="H313" si="168">H316+H314</f>
        <v>66.849999999999994</v>
      </c>
      <c r="I313" s="321">
        <f t="shared" si="141"/>
        <v>99.925261584454375</v>
      </c>
    </row>
    <row r="314" spans="1:9" ht="78.75" x14ac:dyDescent="0.25">
      <c r="A314" s="349" t="s">
        <v>142</v>
      </c>
      <c r="B314" s="346">
        <v>903</v>
      </c>
      <c r="C314" s="347" t="s">
        <v>279</v>
      </c>
      <c r="D314" s="347" t="s">
        <v>230</v>
      </c>
      <c r="E314" s="347" t="s">
        <v>944</v>
      </c>
      <c r="F314" s="347" t="s">
        <v>143</v>
      </c>
      <c r="G314" s="339">
        <f>G315</f>
        <v>66.90000000000002</v>
      </c>
      <c r="H314" s="339">
        <f t="shared" ref="H314" si="169">H315</f>
        <v>66.849999999999994</v>
      </c>
      <c r="I314" s="321">
        <f t="shared" si="141"/>
        <v>99.925261584454375</v>
      </c>
    </row>
    <row r="315" spans="1:9" ht="24.75" customHeight="1" x14ac:dyDescent="0.25">
      <c r="A315" s="46" t="s">
        <v>357</v>
      </c>
      <c r="B315" s="346">
        <v>903</v>
      </c>
      <c r="C315" s="347" t="s">
        <v>279</v>
      </c>
      <c r="D315" s="347" t="s">
        <v>230</v>
      </c>
      <c r="E315" s="347" t="s">
        <v>944</v>
      </c>
      <c r="F315" s="347" t="s">
        <v>224</v>
      </c>
      <c r="G315" s="339">
        <f>264.6-14.6-151.8-31.3</f>
        <v>66.90000000000002</v>
      </c>
      <c r="H315" s="339">
        <v>66.849999999999994</v>
      </c>
      <c r="I315" s="321">
        <f t="shared" si="141"/>
        <v>99.925261584454375</v>
      </c>
    </row>
    <row r="316" spans="1:9" ht="30.75" hidden="1" customHeight="1" x14ac:dyDescent="0.25">
      <c r="A316" s="349" t="s">
        <v>146</v>
      </c>
      <c r="B316" s="346">
        <v>903</v>
      </c>
      <c r="C316" s="347" t="s">
        <v>279</v>
      </c>
      <c r="D316" s="347" t="s">
        <v>230</v>
      </c>
      <c r="E316" s="347" t="s">
        <v>944</v>
      </c>
      <c r="F316" s="347" t="s">
        <v>147</v>
      </c>
      <c r="G316" s="339">
        <f>G317</f>
        <v>0</v>
      </c>
      <c r="H316" s="339">
        <f t="shared" ref="H316" si="170">H317</f>
        <v>0</v>
      </c>
      <c r="I316" s="321" t="e">
        <f t="shared" si="141"/>
        <v>#DIV/0!</v>
      </c>
    </row>
    <row r="317" spans="1:9" ht="39.200000000000003" hidden="1" customHeight="1" x14ac:dyDescent="0.25">
      <c r="A317" s="349" t="s">
        <v>148</v>
      </c>
      <c r="B317" s="346">
        <v>903</v>
      </c>
      <c r="C317" s="347" t="s">
        <v>279</v>
      </c>
      <c r="D317" s="347" t="s">
        <v>230</v>
      </c>
      <c r="E317" s="347" t="s">
        <v>944</v>
      </c>
      <c r="F317" s="347" t="s">
        <v>149</v>
      </c>
      <c r="G317" s="339">
        <f>300-300</f>
        <v>0</v>
      </c>
      <c r="H317" s="339">
        <f t="shared" ref="H317" si="171">300-300</f>
        <v>0</v>
      </c>
      <c r="I317" s="321" t="e">
        <f t="shared" si="141"/>
        <v>#DIV/0!</v>
      </c>
    </row>
    <row r="318" spans="1:9" s="211" customFormat="1" ht="39.200000000000003" customHeight="1" x14ac:dyDescent="0.25">
      <c r="A318" s="318" t="s">
        <v>1074</v>
      </c>
      <c r="B318" s="315">
        <v>903</v>
      </c>
      <c r="C318" s="319" t="s">
        <v>279</v>
      </c>
      <c r="D318" s="319" t="s">
        <v>230</v>
      </c>
      <c r="E318" s="319" t="s">
        <v>949</v>
      </c>
      <c r="F318" s="319"/>
      <c r="G318" s="44">
        <f>G319</f>
        <v>289.29999999999995</v>
      </c>
      <c r="H318" s="44">
        <f t="shared" ref="H318:H320" si="172">H319</f>
        <v>289.14800000000002</v>
      </c>
      <c r="I318" s="317">
        <f t="shared" si="141"/>
        <v>99.947459384721768</v>
      </c>
    </row>
    <row r="319" spans="1:9" s="211" customFormat="1" ht="39.200000000000003" customHeight="1" x14ac:dyDescent="0.25">
      <c r="A319" s="349" t="s">
        <v>883</v>
      </c>
      <c r="B319" s="346">
        <v>903</v>
      </c>
      <c r="C319" s="347" t="s">
        <v>279</v>
      </c>
      <c r="D319" s="347" t="s">
        <v>230</v>
      </c>
      <c r="E319" s="347" t="s">
        <v>1261</v>
      </c>
      <c r="F319" s="347"/>
      <c r="G319" s="321">
        <f>G320</f>
        <v>289.29999999999995</v>
      </c>
      <c r="H319" s="321">
        <f t="shared" si="172"/>
        <v>289.14800000000002</v>
      </c>
      <c r="I319" s="321">
        <f t="shared" si="141"/>
        <v>99.947459384721768</v>
      </c>
    </row>
    <row r="320" spans="1:9" s="211" customFormat="1" ht="70.5" customHeight="1" x14ac:dyDescent="0.25">
      <c r="A320" s="349" t="s">
        <v>142</v>
      </c>
      <c r="B320" s="346">
        <v>903</v>
      </c>
      <c r="C320" s="347" t="s">
        <v>279</v>
      </c>
      <c r="D320" s="347" t="s">
        <v>230</v>
      </c>
      <c r="E320" s="347" t="s">
        <v>1261</v>
      </c>
      <c r="F320" s="347" t="s">
        <v>143</v>
      </c>
      <c r="G320" s="321">
        <f>G321</f>
        <v>289.29999999999995</v>
      </c>
      <c r="H320" s="321">
        <f t="shared" si="172"/>
        <v>289.14800000000002</v>
      </c>
      <c r="I320" s="321">
        <f t="shared" si="141"/>
        <v>99.947459384721768</v>
      </c>
    </row>
    <row r="321" spans="1:9" s="211" customFormat="1" ht="25.5" customHeight="1" x14ac:dyDescent="0.25">
      <c r="A321" s="349" t="s">
        <v>357</v>
      </c>
      <c r="B321" s="346">
        <v>903</v>
      </c>
      <c r="C321" s="347" t="s">
        <v>279</v>
      </c>
      <c r="D321" s="347" t="s">
        <v>230</v>
      </c>
      <c r="E321" s="347" t="s">
        <v>1261</v>
      </c>
      <c r="F321" s="347" t="s">
        <v>224</v>
      </c>
      <c r="G321" s="321">
        <f>336-34.1-12.6</f>
        <v>289.29999999999995</v>
      </c>
      <c r="H321" s="321">
        <v>289.14800000000002</v>
      </c>
      <c r="I321" s="321">
        <f t="shared" si="141"/>
        <v>99.947459384721768</v>
      </c>
    </row>
    <row r="322" spans="1:9" s="211" customFormat="1" ht="50.25" customHeight="1" x14ac:dyDescent="0.25">
      <c r="A322" s="318" t="s">
        <v>969</v>
      </c>
      <c r="B322" s="315">
        <v>903</v>
      </c>
      <c r="C322" s="319" t="s">
        <v>279</v>
      </c>
      <c r="D322" s="319" t="s">
        <v>230</v>
      </c>
      <c r="E322" s="319" t="s">
        <v>1262</v>
      </c>
      <c r="F322" s="319"/>
      <c r="G322" s="44">
        <f>G326+G329+G332+G323</f>
        <v>1001.7</v>
      </c>
      <c r="H322" s="44">
        <f t="shared" ref="H322" si="173">H326+H329+H332+H323</f>
        <v>717.97045000000003</v>
      </c>
      <c r="I322" s="317">
        <f t="shared" si="141"/>
        <v>71.675197164819807</v>
      </c>
    </row>
    <row r="323" spans="1:9" s="310" customFormat="1" ht="80.45" customHeight="1" x14ac:dyDescent="0.25">
      <c r="A323" s="31" t="s">
        <v>308</v>
      </c>
      <c r="B323" s="346">
        <v>903</v>
      </c>
      <c r="C323" s="347" t="s">
        <v>279</v>
      </c>
      <c r="D323" s="347" t="s">
        <v>230</v>
      </c>
      <c r="E323" s="347" t="s">
        <v>1508</v>
      </c>
      <c r="F323" s="347"/>
      <c r="G323" s="339">
        <f>G324</f>
        <v>422.5</v>
      </c>
      <c r="H323" s="339">
        <f t="shared" ref="H323:H324" si="174">H324</f>
        <v>233.88013000000001</v>
      </c>
      <c r="I323" s="321">
        <f t="shared" si="141"/>
        <v>55.356243786982247</v>
      </c>
    </row>
    <row r="324" spans="1:9" s="310" customFormat="1" ht="70.5" customHeight="1" x14ac:dyDescent="0.25">
      <c r="A324" s="349" t="s">
        <v>142</v>
      </c>
      <c r="B324" s="346">
        <v>903</v>
      </c>
      <c r="C324" s="347" t="s">
        <v>279</v>
      </c>
      <c r="D324" s="347" t="s">
        <v>230</v>
      </c>
      <c r="E324" s="347" t="s">
        <v>1508</v>
      </c>
      <c r="F324" s="347" t="s">
        <v>143</v>
      </c>
      <c r="G324" s="339">
        <f>G325</f>
        <v>422.5</v>
      </c>
      <c r="H324" s="339">
        <f t="shared" si="174"/>
        <v>233.88013000000001</v>
      </c>
      <c r="I324" s="321">
        <f t="shared" si="141"/>
        <v>55.356243786982247</v>
      </c>
    </row>
    <row r="325" spans="1:9" s="310" customFormat="1" ht="17.100000000000001" customHeight="1" x14ac:dyDescent="0.25">
      <c r="A325" s="46" t="s">
        <v>357</v>
      </c>
      <c r="B325" s="346">
        <v>903</v>
      </c>
      <c r="C325" s="347" t="s">
        <v>279</v>
      </c>
      <c r="D325" s="347" t="s">
        <v>230</v>
      </c>
      <c r="E325" s="347" t="s">
        <v>1508</v>
      </c>
      <c r="F325" s="347" t="s">
        <v>224</v>
      </c>
      <c r="G325" s="339">
        <v>422.5</v>
      </c>
      <c r="H325" s="339">
        <v>233.88013000000001</v>
      </c>
      <c r="I325" s="321">
        <f t="shared" si="141"/>
        <v>55.356243786982247</v>
      </c>
    </row>
    <row r="326" spans="1:9" s="211" customFormat="1" ht="61.9" customHeight="1" x14ac:dyDescent="0.25">
      <c r="A326" s="31" t="s">
        <v>304</v>
      </c>
      <c r="B326" s="346">
        <v>903</v>
      </c>
      <c r="C326" s="347" t="s">
        <v>279</v>
      </c>
      <c r="D326" s="347" t="s">
        <v>230</v>
      </c>
      <c r="E326" s="347" t="s">
        <v>1263</v>
      </c>
      <c r="F326" s="347"/>
      <c r="G326" s="321">
        <f>G327</f>
        <v>100.8</v>
      </c>
      <c r="H326" s="321">
        <f t="shared" ref="H326:H327" si="175">H327</f>
        <v>77.224360000000004</v>
      </c>
      <c r="I326" s="321">
        <f t="shared" si="141"/>
        <v>76.611468253968269</v>
      </c>
    </row>
    <row r="327" spans="1:9" s="211" customFormat="1" ht="70.5" customHeight="1" x14ac:dyDescent="0.25">
      <c r="A327" s="349" t="s">
        <v>142</v>
      </c>
      <c r="B327" s="346">
        <v>903</v>
      </c>
      <c r="C327" s="347" t="s">
        <v>279</v>
      </c>
      <c r="D327" s="347" t="s">
        <v>230</v>
      </c>
      <c r="E327" s="347" t="s">
        <v>1263</v>
      </c>
      <c r="F327" s="347" t="s">
        <v>143</v>
      </c>
      <c r="G327" s="321">
        <f>G328</f>
        <v>100.8</v>
      </c>
      <c r="H327" s="321">
        <f t="shared" si="175"/>
        <v>77.224360000000004</v>
      </c>
      <c r="I327" s="321">
        <f t="shared" si="141"/>
        <v>76.611468253968269</v>
      </c>
    </row>
    <row r="328" spans="1:9" s="211" customFormat="1" ht="21.75" customHeight="1" x14ac:dyDescent="0.25">
      <c r="A328" s="46" t="s">
        <v>357</v>
      </c>
      <c r="B328" s="346">
        <v>903</v>
      </c>
      <c r="C328" s="347" t="s">
        <v>279</v>
      </c>
      <c r="D328" s="347" t="s">
        <v>230</v>
      </c>
      <c r="E328" s="347" t="s">
        <v>1263</v>
      </c>
      <c r="F328" s="347" t="s">
        <v>224</v>
      </c>
      <c r="G328" s="321">
        <v>100.8</v>
      </c>
      <c r="H328" s="321">
        <v>77.224360000000004</v>
      </c>
      <c r="I328" s="321">
        <f t="shared" si="141"/>
        <v>76.611468253968269</v>
      </c>
    </row>
    <row r="329" spans="1:9" s="211" customFormat="1" ht="67.7" customHeight="1" x14ac:dyDescent="0.25">
      <c r="A329" s="31" t="s">
        <v>306</v>
      </c>
      <c r="B329" s="346">
        <v>903</v>
      </c>
      <c r="C329" s="347" t="s">
        <v>279</v>
      </c>
      <c r="D329" s="347" t="s">
        <v>230</v>
      </c>
      <c r="E329" s="347" t="s">
        <v>1264</v>
      </c>
      <c r="F329" s="347"/>
      <c r="G329" s="321">
        <f>G330</f>
        <v>298.40000000000003</v>
      </c>
      <c r="H329" s="321">
        <f t="shared" ref="H329:H330" si="176">H330</f>
        <v>226.86596</v>
      </c>
      <c r="I329" s="321">
        <f t="shared" ref="I329:I392" si="177">H329/G329*100</f>
        <v>76.027466487935641</v>
      </c>
    </row>
    <row r="330" spans="1:9" s="211" customFormat="1" ht="69.75" customHeight="1" x14ac:dyDescent="0.25">
      <c r="A330" s="349" t="s">
        <v>142</v>
      </c>
      <c r="B330" s="346">
        <v>903</v>
      </c>
      <c r="C330" s="347" t="s">
        <v>279</v>
      </c>
      <c r="D330" s="347" t="s">
        <v>230</v>
      </c>
      <c r="E330" s="347" t="s">
        <v>1264</v>
      </c>
      <c r="F330" s="347" t="s">
        <v>143</v>
      </c>
      <c r="G330" s="321">
        <f>G331</f>
        <v>298.40000000000003</v>
      </c>
      <c r="H330" s="321">
        <f t="shared" si="176"/>
        <v>226.86596</v>
      </c>
      <c r="I330" s="321">
        <f t="shared" si="177"/>
        <v>76.027466487935641</v>
      </c>
    </row>
    <row r="331" spans="1:9" s="211" customFormat="1" ht="21.2" customHeight="1" x14ac:dyDescent="0.25">
      <c r="A331" s="46" t="s">
        <v>357</v>
      </c>
      <c r="B331" s="346">
        <v>903</v>
      </c>
      <c r="C331" s="347" t="s">
        <v>279</v>
      </c>
      <c r="D331" s="347" t="s">
        <v>230</v>
      </c>
      <c r="E331" s="347" t="s">
        <v>1264</v>
      </c>
      <c r="F331" s="347" t="s">
        <v>224</v>
      </c>
      <c r="G331" s="321">
        <f>298.35+0.05</f>
        <v>298.40000000000003</v>
      </c>
      <c r="H331" s="321">
        <v>226.86596</v>
      </c>
      <c r="I331" s="321">
        <f t="shared" si="177"/>
        <v>76.027466487935641</v>
      </c>
    </row>
    <row r="332" spans="1:9" s="211" customFormat="1" ht="87.75" customHeight="1" x14ac:dyDescent="0.25">
      <c r="A332" s="31" t="s">
        <v>308</v>
      </c>
      <c r="B332" s="346">
        <v>903</v>
      </c>
      <c r="C332" s="347" t="s">
        <v>279</v>
      </c>
      <c r="D332" s="347" t="s">
        <v>230</v>
      </c>
      <c r="E332" s="347" t="s">
        <v>1265</v>
      </c>
      <c r="F332" s="347"/>
      <c r="G332" s="321">
        <f>G333</f>
        <v>180</v>
      </c>
      <c r="H332" s="321">
        <f t="shared" ref="H332:H333" si="178">H333</f>
        <v>180</v>
      </c>
      <c r="I332" s="321">
        <f t="shared" si="177"/>
        <v>100</v>
      </c>
    </row>
    <row r="333" spans="1:9" s="211" customFormat="1" ht="62.45" customHeight="1" x14ac:dyDescent="0.25">
      <c r="A333" s="349" t="s">
        <v>142</v>
      </c>
      <c r="B333" s="346">
        <v>903</v>
      </c>
      <c r="C333" s="347" t="s">
        <v>279</v>
      </c>
      <c r="D333" s="347" t="s">
        <v>230</v>
      </c>
      <c r="E333" s="347" t="s">
        <v>1265</v>
      </c>
      <c r="F333" s="347" t="s">
        <v>143</v>
      </c>
      <c r="G333" s="321">
        <f>G334</f>
        <v>180</v>
      </c>
      <c r="H333" s="321">
        <f t="shared" si="178"/>
        <v>180</v>
      </c>
      <c r="I333" s="321">
        <f t="shared" si="177"/>
        <v>100</v>
      </c>
    </row>
    <row r="334" spans="1:9" s="211" customFormat="1" ht="16.5" customHeight="1" x14ac:dyDescent="0.25">
      <c r="A334" s="46" t="s">
        <v>357</v>
      </c>
      <c r="B334" s="346">
        <v>903</v>
      </c>
      <c r="C334" s="347" t="s">
        <v>279</v>
      </c>
      <c r="D334" s="347" t="s">
        <v>230</v>
      </c>
      <c r="E334" s="347" t="s">
        <v>1265</v>
      </c>
      <c r="F334" s="347" t="s">
        <v>224</v>
      </c>
      <c r="G334" s="321">
        <f>602.48+0.02-422.5</f>
        <v>180</v>
      </c>
      <c r="H334" s="321">
        <v>180</v>
      </c>
      <c r="I334" s="321">
        <f t="shared" si="177"/>
        <v>100</v>
      </c>
    </row>
    <row r="335" spans="1:9" ht="51" customHeight="1" x14ac:dyDescent="0.25">
      <c r="A335" s="41" t="s">
        <v>728</v>
      </c>
      <c r="B335" s="315">
        <v>903</v>
      </c>
      <c r="C335" s="319" t="s">
        <v>279</v>
      </c>
      <c r="D335" s="319" t="s">
        <v>230</v>
      </c>
      <c r="E335" s="319" t="s">
        <v>726</v>
      </c>
      <c r="F335" s="319"/>
      <c r="G335" s="317">
        <f>G337</f>
        <v>327.39999999999998</v>
      </c>
      <c r="H335" s="317">
        <f t="shared" ref="H335" si="179">H337</f>
        <v>327.32247999999998</v>
      </c>
      <c r="I335" s="317">
        <f t="shared" si="177"/>
        <v>99.976322541233969</v>
      </c>
    </row>
    <row r="336" spans="1:9" s="211" customFormat="1" ht="48.75" customHeight="1" x14ac:dyDescent="0.25">
      <c r="A336" s="41" t="s">
        <v>947</v>
      </c>
      <c r="B336" s="315">
        <v>903</v>
      </c>
      <c r="C336" s="319" t="s">
        <v>279</v>
      </c>
      <c r="D336" s="319" t="s">
        <v>230</v>
      </c>
      <c r="E336" s="319" t="s">
        <v>945</v>
      </c>
      <c r="F336" s="319"/>
      <c r="G336" s="317">
        <f>G337</f>
        <v>327.39999999999998</v>
      </c>
      <c r="H336" s="317">
        <f t="shared" ref="H336:H338" si="180">H337</f>
        <v>327.32247999999998</v>
      </c>
      <c r="I336" s="317">
        <f t="shared" si="177"/>
        <v>99.976322541233969</v>
      </c>
    </row>
    <row r="337" spans="1:9" ht="32.25" customHeight="1" x14ac:dyDescent="0.25">
      <c r="A337" s="99" t="s">
        <v>1155</v>
      </c>
      <c r="B337" s="347" t="s">
        <v>642</v>
      </c>
      <c r="C337" s="347" t="s">
        <v>279</v>
      </c>
      <c r="D337" s="347" t="s">
        <v>230</v>
      </c>
      <c r="E337" s="347" t="s">
        <v>946</v>
      </c>
      <c r="F337" s="32"/>
      <c r="G337" s="321">
        <f>G338</f>
        <v>327.39999999999998</v>
      </c>
      <c r="H337" s="321">
        <f t="shared" si="180"/>
        <v>327.32247999999998</v>
      </c>
      <c r="I337" s="321">
        <f t="shared" si="177"/>
        <v>99.976322541233969</v>
      </c>
    </row>
    <row r="338" spans="1:9" ht="33" customHeight="1" x14ac:dyDescent="0.25">
      <c r="A338" s="349" t="s">
        <v>146</v>
      </c>
      <c r="B338" s="346">
        <v>903</v>
      </c>
      <c r="C338" s="347" t="s">
        <v>279</v>
      </c>
      <c r="D338" s="347" t="s">
        <v>230</v>
      </c>
      <c r="E338" s="347" t="s">
        <v>946</v>
      </c>
      <c r="F338" s="32" t="s">
        <v>147</v>
      </c>
      <c r="G338" s="321">
        <f>G339</f>
        <v>327.39999999999998</v>
      </c>
      <c r="H338" s="321">
        <f t="shared" si="180"/>
        <v>327.32247999999998</v>
      </c>
      <c r="I338" s="321">
        <f t="shared" si="177"/>
        <v>99.976322541233969</v>
      </c>
    </row>
    <row r="339" spans="1:9" ht="34.5" customHeight="1" x14ac:dyDescent="0.25">
      <c r="A339" s="349" t="s">
        <v>148</v>
      </c>
      <c r="B339" s="346">
        <v>903</v>
      </c>
      <c r="C339" s="347" t="s">
        <v>279</v>
      </c>
      <c r="D339" s="347" t="s">
        <v>230</v>
      </c>
      <c r="E339" s="347" t="s">
        <v>946</v>
      </c>
      <c r="F339" s="32" t="s">
        <v>149</v>
      </c>
      <c r="G339" s="321">
        <f>221+106.4</f>
        <v>327.39999999999998</v>
      </c>
      <c r="H339" s="321">
        <v>327.32247999999998</v>
      </c>
      <c r="I339" s="321">
        <f t="shared" si="177"/>
        <v>99.976322541233969</v>
      </c>
    </row>
    <row r="340" spans="1:9" ht="19.5" customHeight="1" x14ac:dyDescent="0.25">
      <c r="A340" s="318" t="s">
        <v>481</v>
      </c>
      <c r="B340" s="315">
        <v>903</v>
      </c>
      <c r="C340" s="319" t="s">
        <v>279</v>
      </c>
      <c r="D340" s="319" t="s">
        <v>279</v>
      </c>
      <c r="E340" s="347"/>
      <c r="F340" s="347"/>
      <c r="G340" s="317">
        <f>G341</f>
        <v>380.8</v>
      </c>
      <c r="H340" s="317">
        <f t="shared" ref="H340:H341" si="181">H341</f>
        <v>380.66899999999998</v>
      </c>
      <c r="I340" s="317">
        <f t="shared" si="177"/>
        <v>99.965598739495789</v>
      </c>
    </row>
    <row r="341" spans="1:9" ht="52.5" customHeight="1" x14ac:dyDescent="0.25">
      <c r="A341" s="318" t="s">
        <v>358</v>
      </c>
      <c r="B341" s="315">
        <v>903</v>
      </c>
      <c r="C341" s="319" t="s">
        <v>279</v>
      </c>
      <c r="D341" s="319" t="s">
        <v>279</v>
      </c>
      <c r="E341" s="319" t="s">
        <v>359</v>
      </c>
      <c r="F341" s="319"/>
      <c r="G341" s="317">
        <f>G342</f>
        <v>380.8</v>
      </c>
      <c r="H341" s="317">
        <f t="shared" si="181"/>
        <v>380.66899999999998</v>
      </c>
      <c r="I341" s="317">
        <f t="shared" si="177"/>
        <v>99.965598739495789</v>
      </c>
    </row>
    <row r="342" spans="1:9" ht="32.25" customHeight="1" x14ac:dyDescent="0.25">
      <c r="A342" s="318" t="s">
        <v>360</v>
      </c>
      <c r="B342" s="315">
        <v>903</v>
      </c>
      <c r="C342" s="319" t="s">
        <v>279</v>
      </c>
      <c r="D342" s="319" t="s">
        <v>279</v>
      </c>
      <c r="E342" s="319" t="s">
        <v>361</v>
      </c>
      <c r="F342" s="319"/>
      <c r="G342" s="317">
        <f>G343+G350+G356</f>
        <v>380.8</v>
      </c>
      <c r="H342" s="317">
        <f t="shared" ref="H342" si="182">H343+H350+H356</f>
        <v>380.66899999999998</v>
      </c>
      <c r="I342" s="317">
        <f t="shared" si="177"/>
        <v>99.965598739495789</v>
      </c>
    </row>
    <row r="343" spans="1:9" s="211" customFormat="1" ht="48.75" hidden="1" customHeight="1" x14ac:dyDescent="0.25">
      <c r="A343" s="216" t="s">
        <v>1194</v>
      </c>
      <c r="B343" s="315">
        <v>903</v>
      </c>
      <c r="C343" s="319" t="s">
        <v>279</v>
      </c>
      <c r="D343" s="319" t="s">
        <v>279</v>
      </c>
      <c r="E343" s="319" t="s">
        <v>950</v>
      </c>
      <c r="F343" s="319"/>
      <c r="G343" s="317">
        <f>G344+G347</f>
        <v>0</v>
      </c>
      <c r="H343" s="317">
        <f t="shared" ref="H343" si="183">H344+H347</f>
        <v>0</v>
      </c>
      <c r="I343" s="321" t="e">
        <f t="shared" si="177"/>
        <v>#DIV/0!</v>
      </c>
    </row>
    <row r="344" spans="1:9" s="211" customFormat="1" ht="23.25" hidden="1" customHeight="1" x14ac:dyDescent="0.25">
      <c r="A344" s="99" t="s">
        <v>1200</v>
      </c>
      <c r="B344" s="346">
        <v>903</v>
      </c>
      <c r="C344" s="347" t="s">
        <v>279</v>
      </c>
      <c r="D344" s="347" t="s">
        <v>279</v>
      </c>
      <c r="E344" s="347" t="s">
        <v>951</v>
      </c>
      <c r="F344" s="347"/>
      <c r="G344" s="321">
        <f>G345</f>
        <v>0</v>
      </c>
      <c r="H344" s="321">
        <f t="shared" ref="H344:H345" si="184">H345</f>
        <v>0</v>
      </c>
      <c r="I344" s="321" t="e">
        <f t="shared" si="177"/>
        <v>#DIV/0!</v>
      </c>
    </row>
    <row r="345" spans="1:9" s="211" customFormat="1" ht="72" hidden="1" customHeight="1" x14ac:dyDescent="0.25">
      <c r="A345" s="349" t="s">
        <v>142</v>
      </c>
      <c r="B345" s="346">
        <v>903</v>
      </c>
      <c r="C345" s="347" t="s">
        <v>279</v>
      </c>
      <c r="D345" s="347" t="s">
        <v>279</v>
      </c>
      <c r="E345" s="347" t="s">
        <v>951</v>
      </c>
      <c r="F345" s="347" t="s">
        <v>143</v>
      </c>
      <c r="G345" s="321">
        <f>G346</f>
        <v>0</v>
      </c>
      <c r="H345" s="321">
        <f t="shared" si="184"/>
        <v>0</v>
      </c>
      <c r="I345" s="321" t="e">
        <f t="shared" si="177"/>
        <v>#DIV/0!</v>
      </c>
    </row>
    <row r="346" spans="1:9" s="211" customFormat="1" ht="18" hidden="1" customHeight="1" x14ac:dyDescent="0.25">
      <c r="A346" s="349" t="s">
        <v>357</v>
      </c>
      <c r="B346" s="346">
        <v>903</v>
      </c>
      <c r="C346" s="347" t="s">
        <v>279</v>
      </c>
      <c r="D346" s="347" t="s">
        <v>279</v>
      </c>
      <c r="E346" s="347" t="s">
        <v>951</v>
      </c>
      <c r="F346" s="347" t="s">
        <v>224</v>
      </c>
      <c r="G346" s="321">
        <f>280-280+59.3-59.3</f>
        <v>0</v>
      </c>
      <c r="H346" s="321">
        <f t="shared" ref="H346" si="185">280-280+59.3-59.3</f>
        <v>0</v>
      </c>
      <c r="I346" s="321" t="e">
        <f t="shared" si="177"/>
        <v>#DIV/0!</v>
      </c>
    </row>
    <row r="347" spans="1:9" s="211" customFormat="1" ht="19.5" hidden="1" customHeight="1" x14ac:dyDescent="0.25">
      <c r="A347" s="349" t="s">
        <v>1195</v>
      </c>
      <c r="B347" s="346">
        <v>903</v>
      </c>
      <c r="C347" s="347" t="s">
        <v>279</v>
      </c>
      <c r="D347" s="347" t="s">
        <v>279</v>
      </c>
      <c r="E347" s="347" t="s">
        <v>1219</v>
      </c>
      <c r="F347" s="347"/>
      <c r="G347" s="321">
        <f>G348</f>
        <v>0</v>
      </c>
      <c r="H347" s="321">
        <f t="shared" ref="H347:H348" si="186">H348</f>
        <v>0</v>
      </c>
      <c r="I347" s="321" t="e">
        <f t="shared" si="177"/>
        <v>#DIV/0!</v>
      </c>
    </row>
    <row r="348" spans="1:9" s="211" customFormat="1" ht="32.25" hidden="1" customHeight="1" x14ac:dyDescent="0.25">
      <c r="A348" s="349" t="s">
        <v>146</v>
      </c>
      <c r="B348" s="346">
        <v>903</v>
      </c>
      <c r="C348" s="347" t="s">
        <v>279</v>
      </c>
      <c r="D348" s="347" t="s">
        <v>279</v>
      </c>
      <c r="E348" s="347" t="s">
        <v>1219</v>
      </c>
      <c r="F348" s="347" t="s">
        <v>147</v>
      </c>
      <c r="G348" s="321">
        <f>G349</f>
        <v>0</v>
      </c>
      <c r="H348" s="321">
        <f t="shared" si="186"/>
        <v>0</v>
      </c>
      <c r="I348" s="321" t="e">
        <f t="shared" si="177"/>
        <v>#DIV/0!</v>
      </c>
    </row>
    <row r="349" spans="1:9" s="211" customFormat="1" ht="37.5" hidden="1" customHeight="1" x14ac:dyDescent="0.25">
      <c r="A349" s="349" t="s">
        <v>148</v>
      </c>
      <c r="B349" s="346">
        <v>903</v>
      </c>
      <c r="C349" s="347" t="s">
        <v>279</v>
      </c>
      <c r="D349" s="347" t="s">
        <v>279</v>
      </c>
      <c r="E349" s="347" t="s">
        <v>1219</v>
      </c>
      <c r="F349" s="347" t="s">
        <v>149</v>
      </c>
      <c r="G349" s="321">
        <v>0</v>
      </c>
      <c r="H349" s="321">
        <v>0</v>
      </c>
      <c r="I349" s="321" t="e">
        <f t="shared" si="177"/>
        <v>#DIV/0!</v>
      </c>
    </row>
    <row r="350" spans="1:9" s="211" customFormat="1" ht="64.5" customHeight="1" x14ac:dyDescent="0.25">
      <c r="A350" s="318" t="s">
        <v>1196</v>
      </c>
      <c r="B350" s="315">
        <v>903</v>
      </c>
      <c r="C350" s="319" t="s">
        <v>279</v>
      </c>
      <c r="D350" s="319" t="s">
        <v>279</v>
      </c>
      <c r="E350" s="319" t="s">
        <v>952</v>
      </c>
      <c r="F350" s="319"/>
      <c r="G350" s="317">
        <f>G351</f>
        <v>355.8</v>
      </c>
      <c r="H350" s="317">
        <f t="shared" ref="H350" si="187">H351</f>
        <v>355.66899999999998</v>
      </c>
      <c r="I350" s="317">
        <f t="shared" si="177"/>
        <v>99.963181562675658</v>
      </c>
    </row>
    <row r="351" spans="1:9" ht="15.75" hidden="1" customHeight="1" x14ac:dyDescent="0.25">
      <c r="A351" s="349" t="s">
        <v>1197</v>
      </c>
      <c r="B351" s="346">
        <v>903</v>
      </c>
      <c r="C351" s="347" t="s">
        <v>279</v>
      </c>
      <c r="D351" s="347" t="s">
        <v>279</v>
      </c>
      <c r="E351" s="347" t="s">
        <v>970</v>
      </c>
      <c r="F351" s="347"/>
      <c r="G351" s="321">
        <f>G354+G353</f>
        <v>355.8</v>
      </c>
      <c r="H351" s="321">
        <f t="shared" ref="H351" si="188">H354+H353</f>
        <v>355.66899999999998</v>
      </c>
      <c r="I351" s="321">
        <f t="shared" si="177"/>
        <v>99.963181562675658</v>
      </c>
    </row>
    <row r="352" spans="1:9" ht="63" hidden="1" customHeight="1" x14ac:dyDescent="0.25">
      <c r="A352" s="349" t="s">
        <v>142</v>
      </c>
      <c r="B352" s="346">
        <v>903</v>
      </c>
      <c r="C352" s="347" t="s">
        <v>279</v>
      </c>
      <c r="D352" s="347" t="s">
        <v>279</v>
      </c>
      <c r="E352" s="347" t="s">
        <v>970</v>
      </c>
      <c r="F352" s="347" t="s">
        <v>143</v>
      </c>
      <c r="G352" s="321">
        <f>G353</f>
        <v>0</v>
      </c>
      <c r="H352" s="321">
        <f t="shared" ref="H352" si="189">H353</f>
        <v>0</v>
      </c>
      <c r="I352" s="321" t="e">
        <f t="shared" si="177"/>
        <v>#DIV/0!</v>
      </c>
    </row>
    <row r="353" spans="1:9" ht="20.25" hidden="1" customHeight="1" x14ac:dyDescent="0.25">
      <c r="A353" s="349" t="s">
        <v>357</v>
      </c>
      <c r="B353" s="346">
        <v>903</v>
      </c>
      <c r="C353" s="347" t="s">
        <v>279</v>
      </c>
      <c r="D353" s="347" t="s">
        <v>279</v>
      </c>
      <c r="E353" s="347" t="s">
        <v>970</v>
      </c>
      <c r="F353" s="347" t="s">
        <v>224</v>
      </c>
      <c r="G353" s="321">
        <f>40-40</f>
        <v>0</v>
      </c>
      <c r="H353" s="321">
        <f t="shared" ref="H353" si="190">40-40</f>
        <v>0</v>
      </c>
      <c r="I353" s="321" t="e">
        <f t="shared" si="177"/>
        <v>#DIV/0!</v>
      </c>
    </row>
    <row r="354" spans="1:9" ht="27" customHeight="1" x14ac:dyDescent="0.25">
      <c r="A354" s="349" t="s">
        <v>146</v>
      </c>
      <c r="B354" s="346">
        <v>903</v>
      </c>
      <c r="C354" s="347" t="s">
        <v>279</v>
      </c>
      <c r="D354" s="347" t="s">
        <v>279</v>
      </c>
      <c r="E354" s="347" t="s">
        <v>970</v>
      </c>
      <c r="F354" s="347" t="s">
        <v>147</v>
      </c>
      <c r="G354" s="321">
        <f>G355</f>
        <v>355.8</v>
      </c>
      <c r="H354" s="321">
        <f t="shared" ref="H354" si="191">H355</f>
        <v>355.66899999999998</v>
      </c>
      <c r="I354" s="321">
        <f t="shared" si="177"/>
        <v>99.963181562675658</v>
      </c>
    </row>
    <row r="355" spans="1:9" ht="39.200000000000003" customHeight="1" x14ac:dyDescent="0.25">
      <c r="A355" s="349" t="s">
        <v>148</v>
      </c>
      <c r="B355" s="346">
        <v>903</v>
      </c>
      <c r="C355" s="347" t="s">
        <v>279</v>
      </c>
      <c r="D355" s="347" t="s">
        <v>279</v>
      </c>
      <c r="E355" s="347" t="s">
        <v>970</v>
      </c>
      <c r="F355" s="347" t="s">
        <v>149</v>
      </c>
      <c r="G355" s="321">
        <f>415-4.8-23.4-19.9-11.1</f>
        <v>355.8</v>
      </c>
      <c r="H355" s="321">
        <v>355.66899999999998</v>
      </c>
      <c r="I355" s="321">
        <f t="shared" si="177"/>
        <v>99.963181562675658</v>
      </c>
    </row>
    <row r="356" spans="1:9" s="211" customFormat="1" ht="35.450000000000003" customHeight="1" x14ac:dyDescent="0.25">
      <c r="A356" s="318" t="s">
        <v>1202</v>
      </c>
      <c r="B356" s="315">
        <v>903</v>
      </c>
      <c r="C356" s="319" t="s">
        <v>279</v>
      </c>
      <c r="D356" s="319" t="s">
        <v>279</v>
      </c>
      <c r="E356" s="319" t="s">
        <v>1198</v>
      </c>
      <c r="F356" s="319"/>
      <c r="G356" s="317">
        <f>G357</f>
        <v>25</v>
      </c>
      <c r="H356" s="317">
        <f t="shared" ref="H356:H358" si="192">H357</f>
        <v>25</v>
      </c>
      <c r="I356" s="317">
        <f t="shared" si="177"/>
        <v>100</v>
      </c>
    </row>
    <row r="357" spans="1:9" s="211" customFormat="1" ht="39.75" customHeight="1" x14ac:dyDescent="0.25">
      <c r="A357" s="239" t="s">
        <v>1199</v>
      </c>
      <c r="B357" s="346">
        <v>903</v>
      </c>
      <c r="C357" s="347" t="s">
        <v>279</v>
      </c>
      <c r="D357" s="347" t="s">
        <v>279</v>
      </c>
      <c r="E357" s="347" t="s">
        <v>1220</v>
      </c>
      <c r="F357" s="347"/>
      <c r="G357" s="321">
        <f>G358</f>
        <v>25</v>
      </c>
      <c r="H357" s="321">
        <f t="shared" si="192"/>
        <v>25</v>
      </c>
      <c r="I357" s="321">
        <f t="shared" si="177"/>
        <v>100</v>
      </c>
    </row>
    <row r="358" spans="1:9" s="211" customFormat="1" ht="17.45" customHeight="1" x14ac:dyDescent="0.25">
      <c r="A358" s="349" t="s">
        <v>263</v>
      </c>
      <c r="B358" s="346">
        <v>903</v>
      </c>
      <c r="C358" s="347" t="s">
        <v>279</v>
      </c>
      <c r="D358" s="347" t="s">
        <v>279</v>
      </c>
      <c r="E358" s="347" t="s">
        <v>1220</v>
      </c>
      <c r="F358" s="347" t="s">
        <v>264</v>
      </c>
      <c r="G358" s="321">
        <f>G359</f>
        <v>25</v>
      </c>
      <c r="H358" s="321">
        <f t="shared" si="192"/>
        <v>25</v>
      </c>
      <c r="I358" s="321">
        <f t="shared" si="177"/>
        <v>100</v>
      </c>
    </row>
    <row r="359" spans="1:9" s="211" customFormat="1" ht="35.450000000000003" customHeight="1" x14ac:dyDescent="0.25">
      <c r="A359" s="349" t="s">
        <v>1478</v>
      </c>
      <c r="B359" s="346">
        <v>903</v>
      </c>
      <c r="C359" s="347" t="s">
        <v>279</v>
      </c>
      <c r="D359" s="347" t="s">
        <v>279</v>
      </c>
      <c r="E359" s="347" t="s">
        <v>1220</v>
      </c>
      <c r="F359" s="347" t="s">
        <v>1477</v>
      </c>
      <c r="G359" s="321">
        <v>25</v>
      </c>
      <c r="H359" s="321">
        <v>25</v>
      </c>
      <c r="I359" s="321">
        <f t="shared" si="177"/>
        <v>100</v>
      </c>
    </row>
    <row r="360" spans="1:9" ht="15.75" x14ac:dyDescent="0.25">
      <c r="A360" s="318" t="s">
        <v>313</v>
      </c>
      <c r="B360" s="315">
        <v>903</v>
      </c>
      <c r="C360" s="319" t="s">
        <v>314</v>
      </c>
      <c r="D360" s="319"/>
      <c r="E360" s="319"/>
      <c r="F360" s="319"/>
      <c r="G360" s="317">
        <f>G361+G440</f>
        <v>73304.71375000001</v>
      </c>
      <c r="H360" s="317">
        <f t="shared" ref="H360" si="193">H361+H440</f>
        <v>72713.185769999996</v>
      </c>
      <c r="I360" s="317">
        <f t="shared" si="177"/>
        <v>99.193056012717847</v>
      </c>
    </row>
    <row r="361" spans="1:9" ht="15.75" x14ac:dyDescent="0.25">
      <c r="A361" s="318" t="s">
        <v>315</v>
      </c>
      <c r="B361" s="315">
        <v>903</v>
      </c>
      <c r="C361" s="319" t="s">
        <v>314</v>
      </c>
      <c r="D361" s="319" t="s">
        <v>133</v>
      </c>
      <c r="E361" s="319"/>
      <c r="F361" s="319"/>
      <c r="G361" s="317">
        <f>G362+G435+G430</f>
        <v>55428.523000000001</v>
      </c>
      <c r="H361" s="317">
        <f t="shared" ref="H361" si="194">H362+H435+H430</f>
        <v>54851.02399999999</v>
      </c>
      <c r="I361" s="317">
        <f t="shared" si="177"/>
        <v>98.958119450521878</v>
      </c>
    </row>
    <row r="362" spans="1:9" ht="35.450000000000003" customHeight="1" x14ac:dyDescent="0.25">
      <c r="A362" s="318" t="s">
        <v>281</v>
      </c>
      <c r="B362" s="315">
        <v>903</v>
      </c>
      <c r="C362" s="319" t="s">
        <v>314</v>
      </c>
      <c r="D362" s="319" t="s">
        <v>133</v>
      </c>
      <c r="E362" s="319" t="s">
        <v>282</v>
      </c>
      <c r="F362" s="319"/>
      <c r="G362" s="317">
        <f>G363+G396</f>
        <v>54493.923000000003</v>
      </c>
      <c r="H362" s="317">
        <f t="shared" ref="H362" si="195">H363+H396</f>
        <v>53916.501869999993</v>
      </c>
      <c r="I362" s="317">
        <f t="shared" si="177"/>
        <v>98.940393537092191</v>
      </c>
    </row>
    <row r="363" spans="1:9" ht="46.5" customHeight="1" x14ac:dyDescent="0.25">
      <c r="A363" s="318" t="s">
        <v>316</v>
      </c>
      <c r="B363" s="315">
        <v>903</v>
      </c>
      <c r="C363" s="319" t="s">
        <v>314</v>
      </c>
      <c r="D363" s="319" t="s">
        <v>133</v>
      </c>
      <c r="E363" s="319" t="s">
        <v>317</v>
      </c>
      <c r="F363" s="319"/>
      <c r="G363" s="317">
        <f>G364+G372+G381+G385+G392</f>
        <v>30949.222999999998</v>
      </c>
      <c r="H363" s="317">
        <f t="shared" ref="H363" si="196">H364+H372+H381+H385+H392</f>
        <v>30562.373779999998</v>
      </c>
      <c r="I363" s="317">
        <f t="shared" si="177"/>
        <v>98.750051915681368</v>
      </c>
    </row>
    <row r="364" spans="1:9" s="211" customFormat="1" ht="30.2" customHeight="1" x14ac:dyDescent="0.25">
      <c r="A364" s="318" t="s">
        <v>954</v>
      </c>
      <c r="B364" s="315">
        <v>903</v>
      </c>
      <c r="C364" s="319" t="s">
        <v>314</v>
      </c>
      <c r="D364" s="319" t="s">
        <v>133</v>
      </c>
      <c r="E364" s="319" t="s">
        <v>955</v>
      </c>
      <c r="F364" s="319"/>
      <c r="G364" s="317">
        <f>G365</f>
        <v>26447.599999999999</v>
      </c>
      <c r="H364" s="317">
        <f t="shared" ref="H364" si="197">H365</f>
        <v>26061.836389999997</v>
      </c>
      <c r="I364" s="317">
        <f t="shared" si="177"/>
        <v>98.54140409715815</v>
      </c>
    </row>
    <row r="365" spans="1:9" s="211" customFormat="1" ht="17.45" customHeight="1" x14ac:dyDescent="0.25">
      <c r="A365" s="349" t="s">
        <v>830</v>
      </c>
      <c r="B365" s="346">
        <v>903</v>
      </c>
      <c r="C365" s="347" t="s">
        <v>314</v>
      </c>
      <c r="D365" s="347" t="s">
        <v>133</v>
      </c>
      <c r="E365" s="347" t="s">
        <v>953</v>
      </c>
      <c r="F365" s="347"/>
      <c r="G365" s="321">
        <f>G366+G368+G370</f>
        <v>26447.599999999999</v>
      </c>
      <c r="H365" s="321">
        <f t="shared" ref="H365" si="198">H366+H368+H370</f>
        <v>26061.836389999997</v>
      </c>
      <c r="I365" s="321">
        <f t="shared" si="177"/>
        <v>98.54140409715815</v>
      </c>
    </row>
    <row r="366" spans="1:9" s="211" customFormat="1" ht="46.5" customHeight="1" x14ac:dyDescent="0.25">
      <c r="A366" s="349" t="s">
        <v>142</v>
      </c>
      <c r="B366" s="346">
        <v>903</v>
      </c>
      <c r="C366" s="347" t="s">
        <v>314</v>
      </c>
      <c r="D366" s="347" t="s">
        <v>133</v>
      </c>
      <c r="E366" s="347" t="s">
        <v>953</v>
      </c>
      <c r="F366" s="347" t="s">
        <v>143</v>
      </c>
      <c r="G366" s="321">
        <f>G367</f>
        <v>20682.099999999999</v>
      </c>
      <c r="H366" s="321">
        <f t="shared" ref="H366" si="199">H367</f>
        <v>20671.952399999998</v>
      </c>
      <c r="I366" s="321">
        <f t="shared" si="177"/>
        <v>99.950935349891935</v>
      </c>
    </row>
    <row r="367" spans="1:9" s="211" customFormat="1" ht="18.399999999999999" customHeight="1" x14ac:dyDescent="0.25">
      <c r="A367" s="349" t="s">
        <v>223</v>
      </c>
      <c r="B367" s="346">
        <v>903</v>
      </c>
      <c r="C367" s="347" t="s">
        <v>314</v>
      </c>
      <c r="D367" s="347" t="s">
        <v>133</v>
      </c>
      <c r="E367" s="347" t="s">
        <v>953</v>
      </c>
      <c r="F367" s="347" t="s">
        <v>224</v>
      </c>
      <c r="G367" s="339">
        <f>20032+15.5+155.2+4.2+12+28.2-155.2-28.2+2.1+364.1+1.5+6+49.7+156.8+4.2+7.1+26.9</f>
        <v>20682.099999999999</v>
      </c>
      <c r="H367" s="339">
        <v>20671.952399999998</v>
      </c>
      <c r="I367" s="321">
        <f t="shared" si="177"/>
        <v>99.950935349891935</v>
      </c>
    </row>
    <row r="368" spans="1:9" s="211" customFormat="1" ht="36.75" customHeight="1" x14ac:dyDescent="0.25">
      <c r="A368" s="349" t="s">
        <v>146</v>
      </c>
      <c r="B368" s="346">
        <v>903</v>
      </c>
      <c r="C368" s="347" t="s">
        <v>314</v>
      </c>
      <c r="D368" s="347" t="s">
        <v>133</v>
      </c>
      <c r="E368" s="347" t="s">
        <v>953</v>
      </c>
      <c r="F368" s="347" t="s">
        <v>147</v>
      </c>
      <c r="G368" s="321">
        <f>G369</f>
        <v>5634.7</v>
      </c>
      <c r="H368" s="321">
        <f t="shared" ref="H368" si="200">H369</f>
        <v>5259.1719999999996</v>
      </c>
      <c r="I368" s="321">
        <f t="shared" si="177"/>
        <v>93.33543933128648</v>
      </c>
    </row>
    <row r="369" spans="1:9" s="211" customFormat="1" ht="33" customHeight="1" x14ac:dyDescent="0.25">
      <c r="A369" s="349" t="s">
        <v>148</v>
      </c>
      <c r="B369" s="346">
        <v>903</v>
      </c>
      <c r="C369" s="347" t="s">
        <v>314</v>
      </c>
      <c r="D369" s="347" t="s">
        <v>133</v>
      </c>
      <c r="E369" s="347" t="s">
        <v>953</v>
      </c>
      <c r="F369" s="347" t="s">
        <v>149</v>
      </c>
      <c r="G369" s="339">
        <f>4715-1000+1400+570-18.5+92-31.2-0.1-28.5-48.1-12.3-10.2+9+27.3-71+5.6+17+21.8+2.7+14.8-20.6</f>
        <v>5634.7</v>
      </c>
      <c r="H369" s="339">
        <v>5259.1719999999996</v>
      </c>
      <c r="I369" s="321">
        <f t="shared" si="177"/>
        <v>93.33543933128648</v>
      </c>
    </row>
    <row r="370" spans="1:9" s="211" customFormat="1" ht="18" customHeight="1" x14ac:dyDescent="0.25">
      <c r="A370" s="349" t="s">
        <v>150</v>
      </c>
      <c r="B370" s="346">
        <v>903</v>
      </c>
      <c r="C370" s="347" t="s">
        <v>314</v>
      </c>
      <c r="D370" s="347" t="s">
        <v>133</v>
      </c>
      <c r="E370" s="347" t="s">
        <v>953</v>
      </c>
      <c r="F370" s="347" t="s">
        <v>160</v>
      </c>
      <c r="G370" s="321">
        <f>G371</f>
        <v>130.80000000000001</v>
      </c>
      <c r="H370" s="321">
        <f t="shared" ref="H370" si="201">H371</f>
        <v>130.71198999999999</v>
      </c>
      <c r="I370" s="321">
        <f t="shared" si="177"/>
        <v>99.932714067278269</v>
      </c>
    </row>
    <row r="371" spans="1:9" s="211" customFormat="1" ht="16.5" customHeight="1" x14ac:dyDescent="0.25">
      <c r="A371" s="349" t="s">
        <v>583</v>
      </c>
      <c r="B371" s="346">
        <v>903</v>
      </c>
      <c r="C371" s="347" t="s">
        <v>314</v>
      </c>
      <c r="D371" s="347" t="s">
        <v>133</v>
      </c>
      <c r="E371" s="347" t="s">
        <v>953</v>
      </c>
      <c r="F371" s="347" t="s">
        <v>153</v>
      </c>
      <c r="G371" s="321">
        <f>37+80+3+4+9.1-0.2-0.1-1.1-0.9</f>
        <v>130.80000000000001</v>
      </c>
      <c r="H371" s="321">
        <v>130.71198999999999</v>
      </c>
      <c r="I371" s="321">
        <f t="shared" si="177"/>
        <v>99.932714067278269</v>
      </c>
    </row>
    <row r="372" spans="1:9" s="211" customFormat="1" ht="35.450000000000003" customHeight="1" x14ac:dyDescent="0.25">
      <c r="A372" s="222" t="s">
        <v>968</v>
      </c>
      <c r="B372" s="315">
        <v>903</v>
      </c>
      <c r="C372" s="319" t="s">
        <v>314</v>
      </c>
      <c r="D372" s="319" t="s">
        <v>133</v>
      </c>
      <c r="E372" s="319" t="s">
        <v>956</v>
      </c>
      <c r="F372" s="319"/>
      <c r="G372" s="317">
        <f>G373+G378</f>
        <v>2011</v>
      </c>
      <c r="H372" s="317">
        <f t="shared" ref="H372" si="202">H373+H378</f>
        <v>2010.8979999999999</v>
      </c>
      <c r="I372" s="317">
        <f t="shared" si="177"/>
        <v>99.994927896568868</v>
      </c>
    </row>
    <row r="373" spans="1:9" ht="35.450000000000003" customHeight="1" x14ac:dyDescent="0.25">
      <c r="A373" s="31" t="s">
        <v>858</v>
      </c>
      <c r="B373" s="346">
        <v>903</v>
      </c>
      <c r="C373" s="347" t="s">
        <v>314</v>
      </c>
      <c r="D373" s="347" t="s">
        <v>133</v>
      </c>
      <c r="E373" s="347" t="s">
        <v>957</v>
      </c>
      <c r="F373" s="347"/>
      <c r="G373" s="339">
        <f>G376+G374</f>
        <v>1511</v>
      </c>
      <c r="H373" s="339">
        <f t="shared" ref="H373" si="203">H376+H374</f>
        <v>1510.8979999999999</v>
      </c>
      <c r="I373" s="321">
        <f t="shared" si="177"/>
        <v>99.993249503639973</v>
      </c>
    </row>
    <row r="374" spans="1:9" ht="66.2" customHeight="1" x14ac:dyDescent="0.25">
      <c r="A374" s="349" t="s">
        <v>142</v>
      </c>
      <c r="B374" s="346">
        <v>903</v>
      </c>
      <c r="C374" s="347" t="s">
        <v>314</v>
      </c>
      <c r="D374" s="347" t="s">
        <v>133</v>
      </c>
      <c r="E374" s="347" t="s">
        <v>957</v>
      </c>
      <c r="F374" s="347" t="s">
        <v>143</v>
      </c>
      <c r="G374" s="339">
        <f>G375</f>
        <v>135.39999999999998</v>
      </c>
      <c r="H374" s="339">
        <f t="shared" ref="H374" si="204">H375</f>
        <v>135.36799999999999</v>
      </c>
      <c r="I374" s="321">
        <f t="shared" si="177"/>
        <v>99.976366322008886</v>
      </c>
    </row>
    <row r="375" spans="1:9" ht="20.25" customHeight="1" x14ac:dyDescent="0.25">
      <c r="A375" s="349" t="s">
        <v>223</v>
      </c>
      <c r="B375" s="346">
        <v>903</v>
      </c>
      <c r="C375" s="347" t="s">
        <v>314</v>
      </c>
      <c r="D375" s="347" t="s">
        <v>133</v>
      </c>
      <c r="E375" s="347" t="s">
        <v>957</v>
      </c>
      <c r="F375" s="347" t="s">
        <v>224</v>
      </c>
      <c r="G375" s="339">
        <f>455.4-59.3-31.3-39.9-171.8-17.7</f>
        <v>135.39999999999998</v>
      </c>
      <c r="H375" s="339">
        <v>135.36799999999999</v>
      </c>
      <c r="I375" s="321">
        <f t="shared" si="177"/>
        <v>99.976366322008886</v>
      </c>
    </row>
    <row r="376" spans="1:9" ht="33.75" customHeight="1" x14ac:dyDescent="0.25">
      <c r="A376" s="349" t="s">
        <v>146</v>
      </c>
      <c r="B376" s="346">
        <v>903</v>
      </c>
      <c r="C376" s="347" t="s">
        <v>314</v>
      </c>
      <c r="D376" s="347" t="s">
        <v>133</v>
      </c>
      <c r="E376" s="347" t="s">
        <v>957</v>
      </c>
      <c r="F376" s="347" t="s">
        <v>147</v>
      </c>
      <c r="G376" s="339">
        <f>G377</f>
        <v>1375.6</v>
      </c>
      <c r="H376" s="339">
        <f t="shared" ref="H376" si="205">H377</f>
        <v>1375.53</v>
      </c>
      <c r="I376" s="321">
        <f t="shared" si="177"/>
        <v>99.994911311427742</v>
      </c>
    </row>
    <row r="377" spans="1:9" ht="36.75" customHeight="1" x14ac:dyDescent="0.25">
      <c r="A377" s="349" t="s">
        <v>148</v>
      </c>
      <c r="B377" s="346">
        <v>903</v>
      </c>
      <c r="C377" s="347" t="s">
        <v>314</v>
      </c>
      <c r="D377" s="347" t="s">
        <v>133</v>
      </c>
      <c r="E377" s="347" t="s">
        <v>957</v>
      </c>
      <c r="F377" s="347" t="s">
        <v>149</v>
      </c>
      <c r="G377" s="339">
        <f>250+921-455.4+149+500+829.9-800-18.9</f>
        <v>1375.6</v>
      </c>
      <c r="H377" s="339">
        <v>1375.53</v>
      </c>
      <c r="I377" s="321">
        <f t="shared" si="177"/>
        <v>99.994911311427742</v>
      </c>
    </row>
    <row r="378" spans="1:9" s="310" customFormat="1" ht="55.5" customHeight="1" x14ac:dyDescent="0.25">
      <c r="A378" s="349" t="s">
        <v>1579</v>
      </c>
      <c r="B378" s="346">
        <v>903</v>
      </c>
      <c r="C378" s="347" t="s">
        <v>314</v>
      </c>
      <c r="D378" s="347" t="s">
        <v>133</v>
      </c>
      <c r="E378" s="347" t="s">
        <v>1577</v>
      </c>
      <c r="F378" s="347"/>
      <c r="G378" s="339">
        <f>G379</f>
        <v>500</v>
      </c>
      <c r="H378" s="339">
        <f t="shared" ref="H378:H379" si="206">H379</f>
        <v>500</v>
      </c>
      <c r="I378" s="321">
        <f t="shared" si="177"/>
        <v>100</v>
      </c>
    </row>
    <row r="379" spans="1:9" s="310" customFormat="1" ht="36.75" customHeight="1" x14ac:dyDescent="0.25">
      <c r="A379" s="349" t="s">
        <v>146</v>
      </c>
      <c r="B379" s="346">
        <v>903</v>
      </c>
      <c r="C379" s="347" t="s">
        <v>314</v>
      </c>
      <c r="D379" s="347" t="s">
        <v>133</v>
      </c>
      <c r="E379" s="347" t="s">
        <v>1577</v>
      </c>
      <c r="F379" s="347" t="s">
        <v>147</v>
      </c>
      <c r="G379" s="339">
        <f>G380</f>
        <v>500</v>
      </c>
      <c r="H379" s="339">
        <f t="shared" si="206"/>
        <v>500</v>
      </c>
      <c r="I379" s="321">
        <f t="shared" si="177"/>
        <v>100</v>
      </c>
    </row>
    <row r="380" spans="1:9" s="310" customFormat="1" ht="36.75" customHeight="1" x14ac:dyDescent="0.25">
      <c r="A380" s="349" t="s">
        <v>148</v>
      </c>
      <c r="B380" s="346">
        <v>903</v>
      </c>
      <c r="C380" s="347" t="s">
        <v>314</v>
      </c>
      <c r="D380" s="347" t="s">
        <v>133</v>
      </c>
      <c r="E380" s="347" t="s">
        <v>1577</v>
      </c>
      <c r="F380" s="347" t="s">
        <v>149</v>
      </c>
      <c r="G380" s="339">
        <v>500</v>
      </c>
      <c r="H380" s="339">
        <v>500</v>
      </c>
      <c r="I380" s="321">
        <f t="shared" si="177"/>
        <v>100</v>
      </c>
    </row>
    <row r="381" spans="1:9" s="211" customFormat="1" ht="36.75" customHeight="1" x14ac:dyDescent="0.25">
      <c r="A381" s="318" t="s">
        <v>1074</v>
      </c>
      <c r="B381" s="315">
        <v>903</v>
      </c>
      <c r="C381" s="319" t="s">
        <v>314</v>
      </c>
      <c r="D381" s="319" t="s">
        <v>133</v>
      </c>
      <c r="E381" s="319" t="s">
        <v>1162</v>
      </c>
      <c r="F381" s="319"/>
      <c r="G381" s="44">
        <f>G382</f>
        <v>335.4</v>
      </c>
      <c r="H381" s="44">
        <f t="shared" ref="H381:H383" si="207">H382</f>
        <v>335.37941000000001</v>
      </c>
      <c r="I381" s="317">
        <f t="shared" si="177"/>
        <v>99.99386106141921</v>
      </c>
    </row>
    <row r="382" spans="1:9" s="211" customFormat="1" ht="36.75" customHeight="1" x14ac:dyDescent="0.25">
      <c r="A382" s="349" t="s">
        <v>883</v>
      </c>
      <c r="B382" s="346">
        <v>903</v>
      </c>
      <c r="C382" s="347" t="s">
        <v>314</v>
      </c>
      <c r="D382" s="347" t="s">
        <v>133</v>
      </c>
      <c r="E382" s="347" t="s">
        <v>1163</v>
      </c>
      <c r="F382" s="347"/>
      <c r="G382" s="321">
        <f>G383</f>
        <v>335.4</v>
      </c>
      <c r="H382" s="321">
        <f t="shared" si="207"/>
        <v>335.37941000000001</v>
      </c>
      <c r="I382" s="321">
        <f t="shared" si="177"/>
        <v>99.99386106141921</v>
      </c>
    </row>
    <row r="383" spans="1:9" s="211" customFormat="1" ht="62.45" customHeight="1" x14ac:dyDescent="0.25">
      <c r="A383" s="349" t="s">
        <v>142</v>
      </c>
      <c r="B383" s="346">
        <v>903</v>
      </c>
      <c r="C383" s="347" t="s">
        <v>314</v>
      </c>
      <c r="D383" s="347" t="s">
        <v>133</v>
      </c>
      <c r="E383" s="347" t="s">
        <v>1163</v>
      </c>
      <c r="F383" s="347" t="s">
        <v>143</v>
      </c>
      <c r="G383" s="321">
        <f>G384</f>
        <v>335.4</v>
      </c>
      <c r="H383" s="321">
        <f t="shared" si="207"/>
        <v>335.37941000000001</v>
      </c>
      <c r="I383" s="321">
        <f t="shared" si="177"/>
        <v>99.99386106141921</v>
      </c>
    </row>
    <row r="384" spans="1:9" s="211" customFormat="1" ht="36.75" customHeight="1" x14ac:dyDescent="0.25">
      <c r="A384" s="349" t="s">
        <v>144</v>
      </c>
      <c r="B384" s="346">
        <v>903</v>
      </c>
      <c r="C384" s="347" t="s">
        <v>314</v>
      </c>
      <c r="D384" s="347" t="s">
        <v>133</v>
      </c>
      <c r="E384" s="347" t="s">
        <v>1163</v>
      </c>
      <c r="F384" s="347" t="s">
        <v>224</v>
      </c>
      <c r="G384" s="321">
        <f>588-119.3-133.3</f>
        <v>335.4</v>
      </c>
      <c r="H384" s="321">
        <v>335.37941000000001</v>
      </c>
      <c r="I384" s="321">
        <f t="shared" si="177"/>
        <v>99.99386106141921</v>
      </c>
    </row>
    <row r="385" spans="1:9" s="211" customFormat="1" ht="36.75" customHeight="1" x14ac:dyDescent="0.25">
      <c r="A385" s="223" t="s">
        <v>969</v>
      </c>
      <c r="B385" s="315">
        <v>903</v>
      </c>
      <c r="C385" s="319" t="s">
        <v>314</v>
      </c>
      <c r="D385" s="319" t="s">
        <v>133</v>
      </c>
      <c r="E385" s="319" t="s">
        <v>1164</v>
      </c>
      <c r="F385" s="319"/>
      <c r="G385" s="317">
        <f>G389+G386</f>
        <v>824.3</v>
      </c>
      <c r="H385" s="317">
        <f t="shared" ref="H385" si="208">H389+H386</f>
        <v>823.35298999999998</v>
      </c>
      <c r="I385" s="317">
        <f t="shared" si="177"/>
        <v>99.885113429576606</v>
      </c>
    </row>
    <row r="386" spans="1:9" s="310" customFormat="1" ht="81" customHeight="1" x14ac:dyDescent="0.25">
      <c r="A386" s="31" t="s">
        <v>308</v>
      </c>
      <c r="B386" s="346">
        <v>903</v>
      </c>
      <c r="C386" s="347" t="s">
        <v>314</v>
      </c>
      <c r="D386" s="347" t="s">
        <v>133</v>
      </c>
      <c r="E386" s="347" t="s">
        <v>1511</v>
      </c>
      <c r="F386" s="319"/>
      <c r="G386" s="321">
        <f>G387</f>
        <v>749.3</v>
      </c>
      <c r="H386" s="321">
        <f t="shared" ref="H386:H387" si="209">H387</f>
        <v>748.35298999999998</v>
      </c>
      <c r="I386" s="321">
        <f t="shared" si="177"/>
        <v>99.873614039770459</v>
      </c>
    </row>
    <row r="387" spans="1:9" s="310" customFormat="1" ht="69.75" customHeight="1" x14ac:dyDescent="0.25">
      <c r="A387" s="349" t="s">
        <v>142</v>
      </c>
      <c r="B387" s="346">
        <v>903</v>
      </c>
      <c r="C387" s="347" t="s">
        <v>314</v>
      </c>
      <c r="D387" s="347" t="s">
        <v>133</v>
      </c>
      <c r="E387" s="347" t="s">
        <v>1511</v>
      </c>
      <c r="F387" s="347" t="s">
        <v>143</v>
      </c>
      <c r="G387" s="321">
        <f>G388</f>
        <v>749.3</v>
      </c>
      <c r="H387" s="321">
        <f t="shared" si="209"/>
        <v>748.35298999999998</v>
      </c>
      <c r="I387" s="321">
        <f t="shared" si="177"/>
        <v>99.873614039770459</v>
      </c>
    </row>
    <row r="388" spans="1:9" s="310" customFormat="1" ht="18.399999999999999" customHeight="1" x14ac:dyDescent="0.25">
      <c r="A388" s="349" t="s">
        <v>223</v>
      </c>
      <c r="B388" s="346">
        <v>903</v>
      </c>
      <c r="C388" s="347" t="s">
        <v>314</v>
      </c>
      <c r="D388" s="347" t="s">
        <v>133</v>
      </c>
      <c r="E388" s="347" t="s">
        <v>1511</v>
      </c>
      <c r="F388" s="347" t="s">
        <v>224</v>
      </c>
      <c r="G388" s="321">
        <v>749.3</v>
      </c>
      <c r="H388" s="321">
        <v>748.35298999999998</v>
      </c>
      <c r="I388" s="321">
        <f t="shared" si="177"/>
        <v>99.873614039770459</v>
      </c>
    </row>
    <row r="389" spans="1:9" s="211" customFormat="1" ht="79.5" customHeight="1" x14ac:dyDescent="0.25">
      <c r="A389" s="31" t="s">
        <v>308</v>
      </c>
      <c r="B389" s="346">
        <v>903</v>
      </c>
      <c r="C389" s="347" t="s">
        <v>314</v>
      </c>
      <c r="D389" s="347" t="s">
        <v>133</v>
      </c>
      <c r="E389" s="347" t="s">
        <v>1165</v>
      </c>
      <c r="F389" s="347"/>
      <c r="G389" s="321">
        <f>G390</f>
        <v>75</v>
      </c>
      <c r="H389" s="321">
        <f t="shared" ref="H389:H390" si="210">H390</f>
        <v>75</v>
      </c>
      <c r="I389" s="321">
        <f t="shared" si="177"/>
        <v>100</v>
      </c>
    </row>
    <row r="390" spans="1:9" s="211" customFormat="1" ht="66.2" customHeight="1" x14ac:dyDescent="0.25">
      <c r="A390" s="349" t="s">
        <v>142</v>
      </c>
      <c r="B390" s="346">
        <v>903</v>
      </c>
      <c r="C390" s="347" t="s">
        <v>314</v>
      </c>
      <c r="D390" s="347" t="s">
        <v>133</v>
      </c>
      <c r="E390" s="347" t="s">
        <v>1165</v>
      </c>
      <c r="F390" s="347" t="s">
        <v>143</v>
      </c>
      <c r="G390" s="321">
        <f>G391</f>
        <v>75</v>
      </c>
      <c r="H390" s="321">
        <f t="shared" si="210"/>
        <v>75</v>
      </c>
      <c r="I390" s="321">
        <f t="shared" si="177"/>
        <v>100</v>
      </c>
    </row>
    <row r="391" spans="1:9" s="211" customFormat="1" ht="21.75" customHeight="1" x14ac:dyDescent="0.25">
      <c r="A391" s="349" t="s">
        <v>223</v>
      </c>
      <c r="B391" s="346">
        <v>903</v>
      </c>
      <c r="C391" s="347" t="s">
        <v>314</v>
      </c>
      <c r="D391" s="347" t="s">
        <v>133</v>
      </c>
      <c r="E391" s="347" t="s">
        <v>1165</v>
      </c>
      <c r="F391" s="347" t="s">
        <v>224</v>
      </c>
      <c r="G391" s="321">
        <f>724.29+100+0.01-749.3</f>
        <v>75</v>
      </c>
      <c r="H391" s="321">
        <v>75</v>
      </c>
      <c r="I391" s="321">
        <f t="shared" si="177"/>
        <v>100</v>
      </c>
    </row>
    <row r="392" spans="1:9" s="211" customFormat="1" ht="31.7" customHeight="1" x14ac:dyDescent="0.25">
      <c r="A392" s="216" t="s">
        <v>1396</v>
      </c>
      <c r="B392" s="315">
        <v>903</v>
      </c>
      <c r="C392" s="319" t="s">
        <v>314</v>
      </c>
      <c r="D392" s="319" t="s">
        <v>133</v>
      </c>
      <c r="E392" s="319" t="s">
        <v>1397</v>
      </c>
      <c r="F392" s="319"/>
      <c r="G392" s="317">
        <f>G393</f>
        <v>1330.923</v>
      </c>
      <c r="H392" s="317">
        <f t="shared" ref="H392:H394" si="211">H393</f>
        <v>1330.90699</v>
      </c>
      <c r="I392" s="317">
        <f t="shared" si="177"/>
        <v>99.998797075413066</v>
      </c>
    </row>
    <row r="393" spans="1:9" s="211" customFormat="1" ht="48.2" customHeight="1" x14ac:dyDescent="0.25">
      <c r="A393" s="99" t="s">
        <v>1398</v>
      </c>
      <c r="B393" s="346">
        <v>903</v>
      </c>
      <c r="C393" s="347" t="s">
        <v>314</v>
      </c>
      <c r="D393" s="347" t="s">
        <v>133</v>
      </c>
      <c r="E393" s="347" t="s">
        <v>1399</v>
      </c>
      <c r="F393" s="347"/>
      <c r="G393" s="321">
        <f>G394</f>
        <v>1330.923</v>
      </c>
      <c r="H393" s="321">
        <f t="shared" si="211"/>
        <v>1330.90699</v>
      </c>
      <c r="I393" s="321">
        <f t="shared" ref="I393:I456" si="212">H393/G393*100</f>
        <v>99.998797075413066</v>
      </c>
    </row>
    <row r="394" spans="1:9" s="211" customFormat="1" ht="35.450000000000003" customHeight="1" x14ac:dyDescent="0.25">
      <c r="A394" s="349" t="s">
        <v>146</v>
      </c>
      <c r="B394" s="346">
        <v>903</v>
      </c>
      <c r="C394" s="347" t="s">
        <v>314</v>
      </c>
      <c r="D394" s="347" t="s">
        <v>133</v>
      </c>
      <c r="E394" s="347" t="s">
        <v>1399</v>
      </c>
      <c r="F394" s="347" t="s">
        <v>147</v>
      </c>
      <c r="G394" s="321">
        <f>G395</f>
        <v>1330.923</v>
      </c>
      <c r="H394" s="321">
        <f t="shared" si="211"/>
        <v>1330.90699</v>
      </c>
      <c r="I394" s="321">
        <f t="shared" si="212"/>
        <v>99.998797075413066</v>
      </c>
    </row>
    <row r="395" spans="1:9" s="211" customFormat="1" ht="34.5" customHeight="1" x14ac:dyDescent="0.25">
      <c r="A395" s="349" t="s">
        <v>148</v>
      </c>
      <c r="B395" s="346">
        <v>903</v>
      </c>
      <c r="C395" s="347" t="s">
        <v>314</v>
      </c>
      <c r="D395" s="347" t="s">
        <v>133</v>
      </c>
      <c r="E395" s="347" t="s">
        <v>1399</v>
      </c>
      <c r="F395" s="347" t="s">
        <v>149</v>
      </c>
      <c r="G395" s="321">
        <f>1253.5+77.423</f>
        <v>1330.923</v>
      </c>
      <c r="H395" s="321">
        <v>1330.90699</v>
      </c>
      <c r="I395" s="321">
        <f t="shared" si="212"/>
        <v>99.998797075413066</v>
      </c>
    </row>
    <row r="396" spans="1:9" ht="37.5" customHeight="1" x14ac:dyDescent="0.25">
      <c r="A396" s="318" t="s">
        <v>327</v>
      </c>
      <c r="B396" s="315">
        <v>903</v>
      </c>
      <c r="C396" s="319" t="s">
        <v>314</v>
      </c>
      <c r="D396" s="319" t="s">
        <v>133</v>
      </c>
      <c r="E396" s="319" t="s">
        <v>328</v>
      </c>
      <c r="F396" s="319"/>
      <c r="G396" s="317">
        <f>G397+G405+G413+G420+G409</f>
        <v>23544.700000000004</v>
      </c>
      <c r="H396" s="317">
        <f t="shared" ref="H396" si="213">H397+H405+H413+H420+H409</f>
        <v>23354.128089999998</v>
      </c>
      <c r="I396" s="317">
        <f t="shared" si="212"/>
        <v>99.190595293208219</v>
      </c>
    </row>
    <row r="397" spans="1:9" s="211" customFormat="1" ht="37.5" customHeight="1" x14ac:dyDescent="0.25">
      <c r="A397" s="318" t="s">
        <v>954</v>
      </c>
      <c r="B397" s="315">
        <v>903</v>
      </c>
      <c r="C397" s="319" t="s">
        <v>314</v>
      </c>
      <c r="D397" s="319" t="s">
        <v>133</v>
      </c>
      <c r="E397" s="319" t="s">
        <v>958</v>
      </c>
      <c r="F397" s="319"/>
      <c r="G397" s="317">
        <f>G398</f>
        <v>21497.100000000002</v>
      </c>
      <c r="H397" s="317">
        <f t="shared" ref="H397" si="214">H398</f>
        <v>21443.259329999997</v>
      </c>
      <c r="I397" s="317">
        <f t="shared" si="212"/>
        <v>99.749544496699528</v>
      </c>
    </row>
    <row r="398" spans="1:9" s="211" customFormat="1" ht="18" customHeight="1" x14ac:dyDescent="0.25">
      <c r="A398" s="349" t="s">
        <v>830</v>
      </c>
      <c r="B398" s="346">
        <v>903</v>
      </c>
      <c r="C398" s="347" t="s">
        <v>314</v>
      </c>
      <c r="D398" s="347" t="s">
        <v>133</v>
      </c>
      <c r="E398" s="347" t="s">
        <v>959</v>
      </c>
      <c r="F398" s="347"/>
      <c r="G398" s="321">
        <f>G399+G401+G403</f>
        <v>21497.100000000002</v>
      </c>
      <c r="H398" s="321">
        <f t="shared" ref="H398" si="215">H399+H401+H403</f>
        <v>21443.259329999997</v>
      </c>
      <c r="I398" s="321">
        <f t="shared" si="212"/>
        <v>99.749544496699528</v>
      </c>
    </row>
    <row r="399" spans="1:9" s="211" customFormat="1" ht="60.75" customHeight="1" x14ac:dyDescent="0.25">
      <c r="A399" s="349" t="s">
        <v>142</v>
      </c>
      <c r="B399" s="346">
        <v>903</v>
      </c>
      <c r="C399" s="347" t="s">
        <v>314</v>
      </c>
      <c r="D399" s="347" t="s">
        <v>133</v>
      </c>
      <c r="E399" s="347" t="s">
        <v>959</v>
      </c>
      <c r="F399" s="347" t="s">
        <v>143</v>
      </c>
      <c r="G399" s="321">
        <f>G400</f>
        <v>17819.2</v>
      </c>
      <c r="H399" s="321">
        <f t="shared" ref="H399" si="216">H400</f>
        <v>17806.526969999999</v>
      </c>
      <c r="I399" s="321">
        <f t="shared" si="212"/>
        <v>99.928879916045602</v>
      </c>
    </row>
    <row r="400" spans="1:9" s="211" customFormat="1" ht="18.75" customHeight="1" x14ac:dyDescent="0.25">
      <c r="A400" s="349" t="s">
        <v>223</v>
      </c>
      <c r="B400" s="346">
        <v>903</v>
      </c>
      <c r="C400" s="347" t="s">
        <v>314</v>
      </c>
      <c r="D400" s="347" t="s">
        <v>133</v>
      </c>
      <c r="E400" s="347" t="s">
        <v>959</v>
      </c>
      <c r="F400" s="347" t="s">
        <v>224</v>
      </c>
      <c r="G400" s="339">
        <f>19218-1544.8+6-323+625.5-625.5+631+266.3-94.6-339.7</f>
        <v>17819.2</v>
      </c>
      <c r="H400" s="339">
        <v>17806.526969999999</v>
      </c>
      <c r="I400" s="321">
        <f t="shared" si="212"/>
        <v>99.928879916045602</v>
      </c>
    </row>
    <row r="401" spans="1:9" s="211" customFormat="1" ht="28.5" customHeight="1" x14ac:dyDescent="0.25">
      <c r="A401" s="349" t="s">
        <v>146</v>
      </c>
      <c r="B401" s="346">
        <v>903</v>
      </c>
      <c r="C401" s="347" t="s">
        <v>314</v>
      </c>
      <c r="D401" s="347" t="s">
        <v>133</v>
      </c>
      <c r="E401" s="347" t="s">
        <v>959</v>
      </c>
      <c r="F401" s="347" t="s">
        <v>147</v>
      </c>
      <c r="G401" s="321">
        <f>G402</f>
        <v>3641.4</v>
      </c>
      <c r="H401" s="321">
        <f t="shared" ref="H401" si="217">H402</f>
        <v>3600.5082400000001</v>
      </c>
      <c r="I401" s="321">
        <f t="shared" si="212"/>
        <v>98.877031910803538</v>
      </c>
    </row>
    <row r="402" spans="1:9" s="211" customFormat="1" ht="37.5" customHeight="1" x14ac:dyDescent="0.25">
      <c r="A402" s="349" t="s">
        <v>148</v>
      </c>
      <c r="B402" s="346">
        <v>903</v>
      </c>
      <c r="C402" s="347" t="s">
        <v>314</v>
      </c>
      <c r="D402" s="347" t="s">
        <v>133</v>
      </c>
      <c r="E402" s="347" t="s">
        <v>959</v>
      </c>
      <c r="F402" s="347" t="s">
        <v>149</v>
      </c>
      <c r="G402" s="339">
        <f>3450-500+500+300-0.3+149.2-32.4+32.4+5.3-136-92.7-22.1-12</f>
        <v>3641.4</v>
      </c>
      <c r="H402" s="339">
        <v>3600.5082400000001</v>
      </c>
      <c r="I402" s="321">
        <f t="shared" si="212"/>
        <v>98.877031910803538</v>
      </c>
    </row>
    <row r="403" spans="1:9" s="211" customFormat="1" ht="16.350000000000001" customHeight="1" x14ac:dyDescent="0.25">
      <c r="A403" s="349" t="s">
        <v>150</v>
      </c>
      <c r="B403" s="346">
        <v>903</v>
      </c>
      <c r="C403" s="347" t="s">
        <v>314</v>
      </c>
      <c r="D403" s="347" t="s">
        <v>133</v>
      </c>
      <c r="E403" s="347" t="s">
        <v>959</v>
      </c>
      <c r="F403" s="347" t="s">
        <v>160</v>
      </c>
      <c r="G403" s="321">
        <f>G404</f>
        <v>36.5</v>
      </c>
      <c r="H403" s="321">
        <f t="shared" ref="H403" si="218">H404</f>
        <v>36.224119999999999</v>
      </c>
      <c r="I403" s="321">
        <f t="shared" si="212"/>
        <v>99.244164383561639</v>
      </c>
    </row>
    <row r="404" spans="1:9" s="211" customFormat="1" ht="22.7" customHeight="1" x14ac:dyDescent="0.25">
      <c r="A404" s="349" t="s">
        <v>583</v>
      </c>
      <c r="B404" s="346">
        <v>903</v>
      </c>
      <c r="C404" s="347" t="s">
        <v>314</v>
      </c>
      <c r="D404" s="347" t="s">
        <v>133</v>
      </c>
      <c r="E404" s="347" t="s">
        <v>959</v>
      </c>
      <c r="F404" s="347" t="s">
        <v>153</v>
      </c>
      <c r="G404" s="321">
        <f>26+0.3+2.1+8.1</f>
        <v>36.5</v>
      </c>
      <c r="H404" s="321">
        <v>36.224119999999999</v>
      </c>
      <c r="I404" s="321">
        <f t="shared" si="212"/>
        <v>99.244164383561639</v>
      </c>
    </row>
    <row r="405" spans="1:9" s="211" customFormat="1" ht="33" customHeight="1" x14ac:dyDescent="0.25">
      <c r="A405" s="318" t="s">
        <v>971</v>
      </c>
      <c r="B405" s="315">
        <v>903</v>
      </c>
      <c r="C405" s="319" t="s">
        <v>314</v>
      </c>
      <c r="D405" s="319" t="s">
        <v>133</v>
      </c>
      <c r="E405" s="319" t="s">
        <v>960</v>
      </c>
      <c r="F405" s="319"/>
      <c r="G405" s="317">
        <f>G406</f>
        <v>50</v>
      </c>
      <c r="H405" s="317">
        <f t="shared" ref="H405:H407" si="219">H406</f>
        <v>50</v>
      </c>
      <c r="I405" s="317">
        <f t="shared" si="212"/>
        <v>100</v>
      </c>
    </row>
    <row r="406" spans="1:9" s="211" customFormat="1" ht="32.25" customHeight="1" x14ac:dyDescent="0.25">
      <c r="A406" s="349" t="s">
        <v>864</v>
      </c>
      <c r="B406" s="346">
        <v>903</v>
      </c>
      <c r="C406" s="347" t="s">
        <v>314</v>
      </c>
      <c r="D406" s="347" t="s">
        <v>133</v>
      </c>
      <c r="E406" s="347" t="s">
        <v>961</v>
      </c>
      <c r="F406" s="347"/>
      <c r="G406" s="321">
        <f>G407</f>
        <v>50</v>
      </c>
      <c r="H406" s="321">
        <f t="shared" si="219"/>
        <v>50</v>
      </c>
      <c r="I406" s="321">
        <f t="shared" si="212"/>
        <v>100</v>
      </c>
    </row>
    <row r="407" spans="1:9" s="211" customFormat="1" ht="33.75" customHeight="1" x14ac:dyDescent="0.25">
      <c r="A407" s="349" t="s">
        <v>146</v>
      </c>
      <c r="B407" s="346">
        <v>903</v>
      </c>
      <c r="C407" s="347" t="s">
        <v>314</v>
      </c>
      <c r="D407" s="347" t="s">
        <v>133</v>
      </c>
      <c r="E407" s="347" t="s">
        <v>961</v>
      </c>
      <c r="F407" s="347" t="s">
        <v>147</v>
      </c>
      <c r="G407" s="321">
        <f>G408</f>
        <v>50</v>
      </c>
      <c r="H407" s="321">
        <f t="shared" si="219"/>
        <v>50</v>
      </c>
      <c r="I407" s="321">
        <f t="shared" si="212"/>
        <v>100</v>
      </c>
    </row>
    <row r="408" spans="1:9" s="211" customFormat="1" ht="31.7" customHeight="1" x14ac:dyDescent="0.25">
      <c r="A408" s="349" t="s">
        <v>148</v>
      </c>
      <c r="B408" s="346">
        <v>903</v>
      </c>
      <c r="C408" s="347" t="s">
        <v>314</v>
      </c>
      <c r="D408" s="347" t="s">
        <v>133</v>
      </c>
      <c r="E408" s="347" t="s">
        <v>961</v>
      </c>
      <c r="F408" s="347" t="s">
        <v>149</v>
      </c>
      <c r="G408" s="321">
        <v>50</v>
      </c>
      <c r="H408" s="321">
        <v>50</v>
      </c>
      <c r="I408" s="321">
        <f t="shared" si="212"/>
        <v>100</v>
      </c>
    </row>
    <row r="409" spans="1:9" s="211" customFormat="1" ht="31.7" customHeight="1" x14ac:dyDescent="0.25">
      <c r="A409" s="318" t="s">
        <v>1074</v>
      </c>
      <c r="B409" s="315">
        <v>903</v>
      </c>
      <c r="C409" s="319" t="s">
        <v>314</v>
      </c>
      <c r="D409" s="319" t="s">
        <v>133</v>
      </c>
      <c r="E409" s="319" t="s">
        <v>962</v>
      </c>
      <c r="F409" s="319"/>
      <c r="G409" s="317">
        <f>G410</f>
        <v>332.9</v>
      </c>
      <c r="H409" s="317">
        <f t="shared" ref="H409:H411" si="220">H410</f>
        <v>318.35480000000001</v>
      </c>
      <c r="I409" s="317">
        <f t="shared" si="212"/>
        <v>95.630759987984391</v>
      </c>
    </row>
    <row r="410" spans="1:9" s="211" customFormat="1" ht="31.7" customHeight="1" x14ac:dyDescent="0.25">
      <c r="A410" s="349" t="s">
        <v>883</v>
      </c>
      <c r="B410" s="346">
        <v>903</v>
      </c>
      <c r="C410" s="347" t="s">
        <v>314</v>
      </c>
      <c r="D410" s="347" t="s">
        <v>133</v>
      </c>
      <c r="E410" s="347" t="s">
        <v>1250</v>
      </c>
      <c r="F410" s="347"/>
      <c r="G410" s="321">
        <f>G411</f>
        <v>332.9</v>
      </c>
      <c r="H410" s="321">
        <f>H411</f>
        <v>318.35480000000001</v>
      </c>
      <c r="I410" s="321">
        <f t="shared" si="212"/>
        <v>95.630759987984391</v>
      </c>
    </row>
    <row r="411" spans="1:9" s="211" customFormat="1" ht="31.7" customHeight="1" x14ac:dyDescent="0.25">
      <c r="A411" s="349" t="s">
        <v>142</v>
      </c>
      <c r="B411" s="346">
        <v>903</v>
      </c>
      <c r="C411" s="347" t="s">
        <v>314</v>
      </c>
      <c r="D411" s="347" t="s">
        <v>133</v>
      </c>
      <c r="E411" s="347" t="s">
        <v>1250</v>
      </c>
      <c r="F411" s="347" t="s">
        <v>143</v>
      </c>
      <c r="G411" s="321">
        <f>G412</f>
        <v>332.9</v>
      </c>
      <c r="H411" s="321">
        <f t="shared" si="220"/>
        <v>318.35480000000001</v>
      </c>
      <c r="I411" s="321">
        <f t="shared" si="212"/>
        <v>95.630759987984391</v>
      </c>
    </row>
    <row r="412" spans="1:9" s="211" customFormat="1" ht="17.45" customHeight="1" x14ac:dyDescent="0.25">
      <c r="A412" s="349" t="s">
        <v>223</v>
      </c>
      <c r="B412" s="346">
        <v>903</v>
      </c>
      <c r="C412" s="347" t="s">
        <v>314</v>
      </c>
      <c r="D412" s="347" t="s">
        <v>133</v>
      </c>
      <c r="E412" s="347" t="s">
        <v>1250</v>
      </c>
      <c r="F412" s="347" t="s">
        <v>224</v>
      </c>
      <c r="G412" s="321">
        <f>507-174.1</f>
        <v>332.9</v>
      </c>
      <c r="H412" s="321">
        <v>318.35480000000001</v>
      </c>
      <c r="I412" s="321">
        <f t="shared" si="212"/>
        <v>95.630759987984391</v>
      </c>
    </row>
    <row r="413" spans="1:9" s="211" customFormat="1" ht="21.2" customHeight="1" x14ac:dyDescent="0.25">
      <c r="A413" s="318" t="s">
        <v>1161</v>
      </c>
      <c r="B413" s="315">
        <v>903</v>
      </c>
      <c r="C413" s="319" t="s">
        <v>314</v>
      </c>
      <c r="D413" s="319" t="s">
        <v>133</v>
      </c>
      <c r="E413" s="319" t="s">
        <v>963</v>
      </c>
      <c r="F413" s="319"/>
      <c r="G413" s="317">
        <f>G414+G417</f>
        <v>68.7</v>
      </c>
      <c r="H413" s="317">
        <f t="shared" ref="H413" si="221">H414+H417</f>
        <v>68.7</v>
      </c>
      <c r="I413" s="317">
        <f t="shared" si="212"/>
        <v>100</v>
      </c>
    </row>
    <row r="414" spans="1:9" ht="15.75" x14ac:dyDescent="0.25">
      <c r="A414" s="349" t="s">
        <v>1290</v>
      </c>
      <c r="B414" s="346">
        <v>903</v>
      </c>
      <c r="C414" s="347" t="s">
        <v>314</v>
      </c>
      <c r="D414" s="347" t="s">
        <v>133</v>
      </c>
      <c r="E414" s="347" t="s">
        <v>1251</v>
      </c>
      <c r="F414" s="347"/>
      <c r="G414" s="321">
        <f>G415</f>
        <v>3.5</v>
      </c>
      <c r="H414" s="321">
        <f t="shared" ref="H414:H415" si="222">H415</f>
        <v>3.5</v>
      </c>
      <c r="I414" s="321">
        <f t="shared" si="212"/>
        <v>100</v>
      </c>
    </row>
    <row r="415" spans="1:9" ht="31.5" x14ac:dyDescent="0.25">
      <c r="A415" s="349" t="s">
        <v>146</v>
      </c>
      <c r="B415" s="346">
        <v>903</v>
      </c>
      <c r="C415" s="347" t="s">
        <v>314</v>
      </c>
      <c r="D415" s="347" t="s">
        <v>133</v>
      </c>
      <c r="E415" s="347" t="s">
        <v>1251</v>
      </c>
      <c r="F415" s="347" t="s">
        <v>147</v>
      </c>
      <c r="G415" s="321">
        <f>G416</f>
        <v>3.5</v>
      </c>
      <c r="H415" s="321">
        <f t="shared" si="222"/>
        <v>3.5</v>
      </c>
      <c r="I415" s="321">
        <f t="shared" si="212"/>
        <v>100</v>
      </c>
    </row>
    <row r="416" spans="1:9" ht="31.5" x14ac:dyDescent="0.25">
      <c r="A416" s="349" t="s">
        <v>148</v>
      </c>
      <c r="B416" s="346">
        <v>903</v>
      </c>
      <c r="C416" s="347" t="s">
        <v>314</v>
      </c>
      <c r="D416" s="347" t="s">
        <v>133</v>
      </c>
      <c r="E416" s="347" t="s">
        <v>1251</v>
      </c>
      <c r="F416" s="347" t="s">
        <v>149</v>
      </c>
      <c r="G416" s="321">
        <v>3.5</v>
      </c>
      <c r="H416" s="321">
        <v>3.5</v>
      </c>
      <c r="I416" s="321">
        <f t="shared" si="212"/>
        <v>100</v>
      </c>
    </row>
    <row r="417" spans="1:9" ht="15.75" x14ac:dyDescent="0.25">
      <c r="A417" s="349" t="s">
        <v>344</v>
      </c>
      <c r="B417" s="346">
        <v>903</v>
      </c>
      <c r="C417" s="347" t="s">
        <v>314</v>
      </c>
      <c r="D417" s="347" t="s">
        <v>133</v>
      </c>
      <c r="E417" s="347" t="s">
        <v>1252</v>
      </c>
      <c r="F417" s="347"/>
      <c r="G417" s="321">
        <f>G418</f>
        <v>65.2</v>
      </c>
      <c r="H417" s="321">
        <f t="shared" ref="H417:H418" si="223">H418</f>
        <v>65.2</v>
      </c>
      <c r="I417" s="321">
        <f t="shared" si="212"/>
        <v>100</v>
      </c>
    </row>
    <row r="418" spans="1:9" ht="31.5" x14ac:dyDescent="0.25">
      <c r="A418" s="349" t="s">
        <v>146</v>
      </c>
      <c r="B418" s="346">
        <v>903</v>
      </c>
      <c r="C418" s="347" t="s">
        <v>314</v>
      </c>
      <c r="D418" s="347" t="s">
        <v>133</v>
      </c>
      <c r="E418" s="347" t="s">
        <v>1252</v>
      </c>
      <c r="F418" s="347" t="s">
        <v>147</v>
      </c>
      <c r="G418" s="321">
        <f>G419</f>
        <v>65.2</v>
      </c>
      <c r="H418" s="321">
        <f t="shared" si="223"/>
        <v>65.2</v>
      </c>
      <c r="I418" s="321">
        <f t="shared" si="212"/>
        <v>100</v>
      </c>
    </row>
    <row r="419" spans="1:9" ht="31.5" x14ac:dyDescent="0.25">
      <c r="A419" s="349" t="s">
        <v>148</v>
      </c>
      <c r="B419" s="346">
        <v>903</v>
      </c>
      <c r="C419" s="347" t="s">
        <v>314</v>
      </c>
      <c r="D419" s="347" t="s">
        <v>133</v>
      </c>
      <c r="E419" s="347" t="s">
        <v>1252</v>
      </c>
      <c r="F419" s="38">
        <v>240</v>
      </c>
      <c r="G419" s="321">
        <v>65.2</v>
      </c>
      <c r="H419" s="321">
        <v>65.2</v>
      </c>
      <c r="I419" s="321">
        <f t="shared" si="212"/>
        <v>100</v>
      </c>
    </row>
    <row r="420" spans="1:9" ht="45.6" customHeight="1" x14ac:dyDescent="0.25">
      <c r="A420" s="223" t="s">
        <v>969</v>
      </c>
      <c r="B420" s="315">
        <v>903</v>
      </c>
      <c r="C420" s="319" t="s">
        <v>314</v>
      </c>
      <c r="D420" s="319" t="s">
        <v>133</v>
      </c>
      <c r="E420" s="319" t="s">
        <v>1253</v>
      </c>
      <c r="F420" s="319"/>
      <c r="G420" s="317">
        <f>G424+G427+G421</f>
        <v>1596</v>
      </c>
      <c r="H420" s="317">
        <f t="shared" ref="H420" si="224">H424+H427+H421</f>
        <v>1473.81396</v>
      </c>
      <c r="I420" s="317">
        <f t="shared" si="212"/>
        <v>92.344233082706765</v>
      </c>
    </row>
    <row r="421" spans="1:9" s="310" customFormat="1" ht="79.5" customHeight="1" x14ac:dyDescent="0.25">
      <c r="A421" s="31" t="s">
        <v>308</v>
      </c>
      <c r="B421" s="346">
        <v>903</v>
      </c>
      <c r="C421" s="347" t="s">
        <v>314</v>
      </c>
      <c r="D421" s="347" t="s">
        <v>133</v>
      </c>
      <c r="E421" s="347" t="s">
        <v>1512</v>
      </c>
      <c r="F421" s="347"/>
      <c r="G421" s="321">
        <f>G422</f>
        <v>1159.3</v>
      </c>
      <c r="H421" s="321">
        <f t="shared" ref="H421:H422" si="225">H422</f>
        <v>1043.8611000000001</v>
      </c>
      <c r="I421" s="321">
        <f t="shared" si="212"/>
        <v>90.042361770033651</v>
      </c>
    </row>
    <row r="422" spans="1:9" s="310" customFormat="1" ht="64.5" customHeight="1" x14ac:dyDescent="0.25">
      <c r="A422" s="349" t="s">
        <v>142</v>
      </c>
      <c r="B422" s="346">
        <v>903</v>
      </c>
      <c r="C422" s="347" t="s">
        <v>314</v>
      </c>
      <c r="D422" s="347" t="s">
        <v>133</v>
      </c>
      <c r="E422" s="347" t="s">
        <v>1512</v>
      </c>
      <c r="F422" s="347" t="s">
        <v>143</v>
      </c>
      <c r="G422" s="321">
        <f>G423</f>
        <v>1159.3</v>
      </c>
      <c r="H422" s="321">
        <f t="shared" si="225"/>
        <v>1043.8611000000001</v>
      </c>
      <c r="I422" s="321">
        <f t="shared" si="212"/>
        <v>90.042361770033651</v>
      </c>
    </row>
    <row r="423" spans="1:9" s="310" customFormat="1" ht="19.7" customHeight="1" x14ac:dyDescent="0.25">
      <c r="A423" s="349" t="s">
        <v>223</v>
      </c>
      <c r="B423" s="346">
        <v>903</v>
      </c>
      <c r="C423" s="347" t="s">
        <v>314</v>
      </c>
      <c r="D423" s="347" t="s">
        <v>133</v>
      </c>
      <c r="E423" s="347" t="s">
        <v>1512</v>
      </c>
      <c r="F423" s="347" t="s">
        <v>224</v>
      </c>
      <c r="G423" s="321">
        <v>1159.3</v>
      </c>
      <c r="H423" s="321">
        <v>1043.8611000000001</v>
      </c>
      <c r="I423" s="321">
        <f t="shared" si="212"/>
        <v>90.042361770033651</v>
      </c>
    </row>
    <row r="424" spans="1:9" s="211" customFormat="1" ht="63" x14ac:dyDescent="0.25">
      <c r="A424" s="349" t="s">
        <v>346</v>
      </c>
      <c r="B424" s="346">
        <v>903</v>
      </c>
      <c r="C424" s="347" t="s">
        <v>314</v>
      </c>
      <c r="D424" s="347" t="s">
        <v>133</v>
      </c>
      <c r="E424" s="347" t="s">
        <v>1254</v>
      </c>
      <c r="F424" s="347"/>
      <c r="G424" s="321">
        <f>G425</f>
        <v>319.7</v>
      </c>
      <c r="H424" s="321">
        <f t="shared" ref="H424:H425" si="226">H425</f>
        <v>312.95285999999999</v>
      </c>
      <c r="I424" s="321">
        <f t="shared" si="212"/>
        <v>97.889540193931808</v>
      </c>
    </row>
    <row r="425" spans="1:9" s="211" customFormat="1" ht="78.75" x14ac:dyDescent="0.25">
      <c r="A425" s="349" t="s">
        <v>142</v>
      </c>
      <c r="B425" s="346">
        <v>903</v>
      </c>
      <c r="C425" s="347" t="s">
        <v>314</v>
      </c>
      <c r="D425" s="347" t="s">
        <v>133</v>
      </c>
      <c r="E425" s="347" t="s">
        <v>1254</v>
      </c>
      <c r="F425" s="347" t="s">
        <v>143</v>
      </c>
      <c r="G425" s="321">
        <f>G426</f>
        <v>319.7</v>
      </c>
      <c r="H425" s="321">
        <f t="shared" si="226"/>
        <v>312.95285999999999</v>
      </c>
      <c r="I425" s="321">
        <f t="shared" si="212"/>
        <v>97.889540193931808</v>
      </c>
    </row>
    <row r="426" spans="1:9" s="211" customFormat="1" ht="15.75" x14ac:dyDescent="0.25">
      <c r="A426" s="349" t="s">
        <v>223</v>
      </c>
      <c r="B426" s="346">
        <v>903</v>
      </c>
      <c r="C426" s="347" t="s">
        <v>314</v>
      </c>
      <c r="D426" s="347" t="s">
        <v>133</v>
      </c>
      <c r="E426" s="347" t="s">
        <v>1254</v>
      </c>
      <c r="F426" s="347" t="s">
        <v>224</v>
      </c>
      <c r="G426" s="321">
        <v>319.7</v>
      </c>
      <c r="H426" s="321">
        <v>312.95285999999999</v>
      </c>
      <c r="I426" s="321">
        <f t="shared" si="212"/>
        <v>97.889540193931808</v>
      </c>
    </row>
    <row r="427" spans="1:9" s="211" customFormat="1" ht="78.75" x14ac:dyDescent="0.25">
      <c r="A427" s="31" t="s">
        <v>308</v>
      </c>
      <c r="B427" s="346">
        <v>903</v>
      </c>
      <c r="C427" s="347" t="s">
        <v>314</v>
      </c>
      <c r="D427" s="347" t="s">
        <v>133</v>
      </c>
      <c r="E427" s="347" t="s">
        <v>1255</v>
      </c>
      <c r="F427" s="347"/>
      <c r="G427" s="321">
        <f>G428</f>
        <v>117</v>
      </c>
      <c r="H427" s="321">
        <f t="shared" ref="H427:H428" si="227">H428</f>
        <v>117</v>
      </c>
      <c r="I427" s="321">
        <f t="shared" si="212"/>
        <v>100</v>
      </c>
    </row>
    <row r="428" spans="1:9" s="211" customFormat="1" ht="78.75" x14ac:dyDescent="0.25">
      <c r="A428" s="349" t="s">
        <v>142</v>
      </c>
      <c r="B428" s="346">
        <v>903</v>
      </c>
      <c r="C428" s="347" t="s">
        <v>314</v>
      </c>
      <c r="D428" s="347" t="s">
        <v>133</v>
      </c>
      <c r="E428" s="347" t="s">
        <v>1255</v>
      </c>
      <c r="F428" s="347" t="s">
        <v>143</v>
      </c>
      <c r="G428" s="321">
        <f>G429</f>
        <v>117</v>
      </c>
      <c r="H428" s="321">
        <f t="shared" si="227"/>
        <v>117</v>
      </c>
      <c r="I428" s="321">
        <f t="shared" si="212"/>
        <v>100</v>
      </c>
    </row>
    <row r="429" spans="1:9" ht="15.75" x14ac:dyDescent="0.25">
      <c r="A429" s="349" t="s">
        <v>223</v>
      </c>
      <c r="B429" s="346">
        <v>903</v>
      </c>
      <c r="C429" s="347" t="s">
        <v>314</v>
      </c>
      <c r="D429" s="347" t="s">
        <v>133</v>
      </c>
      <c r="E429" s="347" t="s">
        <v>1255</v>
      </c>
      <c r="F429" s="347" t="s">
        <v>224</v>
      </c>
      <c r="G429" s="321">
        <f>1075.09+201.22-0.01-1159.3</f>
        <v>117</v>
      </c>
      <c r="H429" s="321">
        <v>117</v>
      </c>
      <c r="I429" s="321">
        <f t="shared" si="212"/>
        <v>100</v>
      </c>
    </row>
    <row r="430" spans="1:9" ht="47.25" x14ac:dyDescent="0.25">
      <c r="A430" s="34" t="s">
        <v>803</v>
      </c>
      <c r="B430" s="315">
        <v>903</v>
      </c>
      <c r="C430" s="319" t="s">
        <v>314</v>
      </c>
      <c r="D430" s="319" t="s">
        <v>133</v>
      </c>
      <c r="E430" s="319" t="s">
        <v>339</v>
      </c>
      <c r="F430" s="319"/>
      <c r="G430" s="317">
        <f>G432</f>
        <v>100</v>
      </c>
      <c r="H430" s="317">
        <f t="shared" ref="H430" si="228">H432</f>
        <v>100</v>
      </c>
      <c r="I430" s="317">
        <f t="shared" si="212"/>
        <v>100</v>
      </c>
    </row>
    <row r="431" spans="1:9" s="211" customFormat="1" ht="63" x14ac:dyDescent="0.25">
      <c r="A431" s="34" t="s">
        <v>1189</v>
      </c>
      <c r="B431" s="315">
        <v>903</v>
      </c>
      <c r="C431" s="319" t="s">
        <v>314</v>
      </c>
      <c r="D431" s="319" t="s">
        <v>133</v>
      </c>
      <c r="E431" s="319" t="s">
        <v>1023</v>
      </c>
      <c r="F431" s="319"/>
      <c r="G431" s="317">
        <f>G434</f>
        <v>100</v>
      </c>
      <c r="H431" s="317">
        <f t="shared" ref="H431" si="229">H434</f>
        <v>100</v>
      </c>
      <c r="I431" s="317">
        <f t="shared" si="212"/>
        <v>100</v>
      </c>
    </row>
    <row r="432" spans="1:9" ht="47.25" x14ac:dyDescent="0.25">
      <c r="A432" s="31" t="s">
        <v>1271</v>
      </c>
      <c r="B432" s="346">
        <v>903</v>
      </c>
      <c r="C432" s="347" t="s">
        <v>314</v>
      </c>
      <c r="D432" s="347" t="s">
        <v>133</v>
      </c>
      <c r="E432" s="347" t="s">
        <v>1190</v>
      </c>
      <c r="F432" s="347"/>
      <c r="G432" s="321">
        <f>G433</f>
        <v>100</v>
      </c>
      <c r="H432" s="321">
        <f t="shared" ref="H432:H433" si="230">H433</f>
        <v>100</v>
      </c>
      <c r="I432" s="321">
        <f t="shared" si="212"/>
        <v>100</v>
      </c>
    </row>
    <row r="433" spans="1:9" ht="31.5" x14ac:dyDescent="0.25">
      <c r="A433" s="349" t="s">
        <v>146</v>
      </c>
      <c r="B433" s="346">
        <v>903</v>
      </c>
      <c r="C433" s="347" t="s">
        <v>314</v>
      </c>
      <c r="D433" s="347" t="s">
        <v>133</v>
      </c>
      <c r="E433" s="347" t="s">
        <v>1190</v>
      </c>
      <c r="F433" s="347" t="s">
        <v>147</v>
      </c>
      <c r="G433" s="321">
        <f>G434</f>
        <v>100</v>
      </c>
      <c r="H433" s="321">
        <f t="shared" si="230"/>
        <v>100</v>
      </c>
      <c r="I433" s="321">
        <f t="shared" si="212"/>
        <v>100</v>
      </c>
    </row>
    <row r="434" spans="1:9" ht="31.5" x14ac:dyDescent="0.25">
      <c r="A434" s="349" t="s">
        <v>148</v>
      </c>
      <c r="B434" s="346">
        <v>903</v>
      </c>
      <c r="C434" s="347" t="s">
        <v>314</v>
      </c>
      <c r="D434" s="347" t="s">
        <v>133</v>
      </c>
      <c r="E434" s="347" t="s">
        <v>1190</v>
      </c>
      <c r="F434" s="347" t="s">
        <v>149</v>
      </c>
      <c r="G434" s="321">
        <v>100</v>
      </c>
      <c r="H434" s="321">
        <v>100</v>
      </c>
      <c r="I434" s="321">
        <f t="shared" si="212"/>
        <v>100</v>
      </c>
    </row>
    <row r="435" spans="1:9" ht="47.25" x14ac:dyDescent="0.25">
      <c r="A435" s="41" t="s">
        <v>1183</v>
      </c>
      <c r="B435" s="315">
        <v>903</v>
      </c>
      <c r="C435" s="319" t="s">
        <v>314</v>
      </c>
      <c r="D435" s="319" t="s">
        <v>133</v>
      </c>
      <c r="E435" s="319" t="s">
        <v>726</v>
      </c>
      <c r="F435" s="228"/>
      <c r="G435" s="317">
        <f>G436</f>
        <v>834.6</v>
      </c>
      <c r="H435" s="317">
        <f t="shared" ref="H435:H438" si="231">H436</f>
        <v>834.52212999999995</v>
      </c>
      <c r="I435" s="317">
        <f t="shared" si="212"/>
        <v>99.990669781931445</v>
      </c>
    </row>
    <row r="436" spans="1:9" s="211" customFormat="1" ht="47.25" x14ac:dyDescent="0.25">
      <c r="A436" s="41" t="s">
        <v>947</v>
      </c>
      <c r="B436" s="315">
        <v>903</v>
      </c>
      <c r="C436" s="319" t="s">
        <v>314</v>
      </c>
      <c r="D436" s="319" t="s">
        <v>133</v>
      </c>
      <c r="E436" s="319" t="s">
        <v>945</v>
      </c>
      <c r="F436" s="228"/>
      <c r="G436" s="317">
        <f>G437</f>
        <v>834.6</v>
      </c>
      <c r="H436" s="317">
        <f t="shared" si="231"/>
        <v>834.52212999999995</v>
      </c>
      <c r="I436" s="317">
        <f t="shared" si="212"/>
        <v>99.990669781931445</v>
      </c>
    </row>
    <row r="437" spans="1:9" ht="31.5" x14ac:dyDescent="0.25">
      <c r="A437" s="99" t="s">
        <v>1185</v>
      </c>
      <c r="B437" s="346">
        <v>903</v>
      </c>
      <c r="C437" s="347" t="s">
        <v>314</v>
      </c>
      <c r="D437" s="347" t="s">
        <v>133</v>
      </c>
      <c r="E437" s="347" t="s">
        <v>946</v>
      </c>
      <c r="F437" s="32"/>
      <c r="G437" s="321">
        <f>G438</f>
        <v>834.6</v>
      </c>
      <c r="H437" s="321">
        <f t="shared" si="231"/>
        <v>834.52212999999995</v>
      </c>
      <c r="I437" s="321">
        <f t="shared" si="212"/>
        <v>99.990669781931445</v>
      </c>
    </row>
    <row r="438" spans="1:9" ht="31.5" x14ac:dyDescent="0.25">
      <c r="A438" s="349" t="s">
        <v>146</v>
      </c>
      <c r="B438" s="346">
        <v>903</v>
      </c>
      <c r="C438" s="347" t="s">
        <v>314</v>
      </c>
      <c r="D438" s="347" t="s">
        <v>133</v>
      </c>
      <c r="E438" s="347" t="s">
        <v>946</v>
      </c>
      <c r="F438" s="32" t="s">
        <v>147</v>
      </c>
      <c r="G438" s="321">
        <f>G439</f>
        <v>834.6</v>
      </c>
      <c r="H438" s="321">
        <f t="shared" si="231"/>
        <v>834.52212999999995</v>
      </c>
      <c r="I438" s="321">
        <f t="shared" si="212"/>
        <v>99.990669781931445</v>
      </c>
    </row>
    <row r="439" spans="1:9" ht="31.5" x14ac:dyDescent="0.25">
      <c r="A439" s="349" t="s">
        <v>148</v>
      </c>
      <c r="B439" s="346">
        <v>903</v>
      </c>
      <c r="C439" s="347" t="s">
        <v>314</v>
      </c>
      <c r="D439" s="347" t="s">
        <v>133</v>
      </c>
      <c r="E439" s="347" t="s">
        <v>946</v>
      </c>
      <c r="F439" s="32" t="s">
        <v>149</v>
      </c>
      <c r="G439" s="321">
        <f>793.2+41.4</f>
        <v>834.6</v>
      </c>
      <c r="H439" s="321">
        <v>834.52212999999995</v>
      </c>
      <c r="I439" s="321">
        <f t="shared" si="212"/>
        <v>99.990669781931445</v>
      </c>
    </row>
    <row r="440" spans="1:9" ht="15.75" x14ac:dyDescent="0.25">
      <c r="A440" s="318" t="s">
        <v>348</v>
      </c>
      <c r="B440" s="315">
        <v>903</v>
      </c>
      <c r="C440" s="319" t="s">
        <v>314</v>
      </c>
      <c r="D440" s="319" t="s">
        <v>165</v>
      </c>
      <c r="E440" s="319"/>
      <c r="F440" s="319"/>
      <c r="G440" s="317">
        <f>G441+G454+G466</f>
        <v>17876.190750000005</v>
      </c>
      <c r="H440" s="317">
        <f t="shared" ref="H440" si="232">H441+H454+H466</f>
        <v>17862.161770000002</v>
      </c>
      <c r="I440" s="317">
        <f t="shared" si="212"/>
        <v>99.921521423684723</v>
      </c>
    </row>
    <row r="441" spans="1:9" s="211" customFormat="1" ht="31.5" x14ac:dyDescent="0.25">
      <c r="A441" s="318" t="s">
        <v>988</v>
      </c>
      <c r="B441" s="315">
        <v>903</v>
      </c>
      <c r="C441" s="319" t="s">
        <v>314</v>
      </c>
      <c r="D441" s="319" t="s">
        <v>165</v>
      </c>
      <c r="E441" s="319" t="s">
        <v>902</v>
      </c>
      <c r="F441" s="319"/>
      <c r="G441" s="317">
        <f>G442</f>
        <v>6791.8907500000005</v>
      </c>
      <c r="H441" s="317">
        <f t="shared" ref="H441" si="233">H442</f>
        <v>6780.02045</v>
      </c>
      <c r="I441" s="317">
        <f t="shared" si="212"/>
        <v>99.825228343079559</v>
      </c>
    </row>
    <row r="442" spans="1:9" s="211" customFormat="1" ht="15.75" x14ac:dyDescent="0.25">
      <c r="A442" s="318" t="s">
        <v>989</v>
      </c>
      <c r="B442" s="315">
        <v>903</v>
      </c>
      <c r="C442" s="319" t="s">
        <v>314</v>
      </c>
      <c r="D442" s="319" t="s">
        <v>165</v>
      </c>
      <c r="E442" s="319" t="s">
        <v>903</v>
      </c>
      <c r="F442" s="319"/>
      <c r="G442" s="317">
        <f>G443+G448+G451</f>
        <v>6791.8907500000005</v>
      </c>
      <c r="H442" s="317">
        <f t="shared" ref="H442" si="234">H443+H448+H451</f>
        <v>6780.02045</v>
      </c>
      <c r="I442" s="317">
        <f t="shared" si="212"/>
        <v>99.825228343079559</v>
      </c>
    </row>
    <row r="443" spans="1:9" s="211" customFormat="1" ht="31.5" x14ac:dyDescent="0.25">
      <c r="A443" s="349" t="s">
        <v>965</v>
      </c>
      <c r="B443" s="346">
        <v>903</v>
      </c>
      <c r="C443" s="347" t="s">
        <v>314</v>
      </c>
      <c r="D443" s="347" t="s">
        <v>165</v>
      </c>
      <c r="E443" s="347" t="s">
        <v>904</v>
      </c>
      <c r="F443" s="347"/>
      <c r="G443" s="321">
        <f>G444+G446</f>
        <v>6715.6</v>
      </c>
      <c r="H443" s="321">
        <f t="shared" ref="H443" si="235">H444+H446</f>
        <v>6703.7229500000003</v>
      </c>
      <c r="I443" s="321">
        <f t="shared" si="212"/>
        <v>99.823142384894865</v>
      </c>
    </row>
    <row r="444" spans="1:9" s="211" customFormat="1" ht="78.75" x14ac:dyDescent="0.25">
      <c r="A444" s="349" t="s">
        <v>142</v>
      </c>
      <c r="B444" s="346">
        <v>903</v>
      </c>
      <c r="C444" s="347" t="s">
        <v>314</v>
      </c>
      <c r="D444" s="347" t="s">
        <v>165</v>
      </c>
      <c r="E444" s="347" t="s">
        <v>904</v>
      </c>
      <c r="F444" s="347" t="s">
        <v>143</v>
      </c>
      <c r="G444" s="321">
        <f>G445</f>
        <v>6715.6</v>
      </c>
      <c r="H444" s="321">
        <f t="shared" ref="H444" si="236">H445</f>
        <v>6703.7229500000003</v>
      </c>
      <c r="I444" s="321">
        <f t="shared" si="212"/>
        <v>99.823142384894865</v>
      </c>
    </row>
    <row r="445" spans="1:9" s="211" customFormat="1" ht="31.5" x14ac:dyDescent="0.25">
      <c r="A445" s="349" t="s">
        <v>144</v>
      </c>
      <c r="B445" s="346">
        <v>903</v>
      </c>
      <c r="C445" s="347" t="s">
        <v>314</v>
      </c>
      <c r="D445" s="347" t="s">
        <v>165</v>
      </c>
      <c r="E445" s="347" t="s">
        <v>904</v>
      </c>
      <c r="F445" s="347" t="s">
        <v>145</v>
      </c>
      <c r="G445" s="339">
        <f>6744+343+59.5-439.8-2.4-8.7-125.9+50.2+82.6+22.8-2.6-7.1</f>
        <v>6715.6</v>
      </c>
      <c r="H445" s="339">
        <v>6703.7229500000003</v>
      </c>
      <c r="I445" s="321">
        <f t="shared" si="212"/>
        <v>99.823142384894865</v>
      </c>
    </row>
    <row r="446" spans="1:9" s="211" customFormat="1" ht="31.5" hidden="1" x14ac:dyDescent="0.25">
      <c r="A446" s="349" t="s">
        <v>146</v>
      </c>
      <c r="B446" s="346">
        <v>903</v>
      </c>
      <c r="C446" s="347" t="s">
        <v>314</v>
      </c>
      <c r="D446" s="347" t="s">
        <v>165</v>
      </c>
      <c r="E446" s="347" t="s">
        <v>904</v>
      </c>
      <c r="F446" s="347" t="s">
        <v>147</v>
      </c>
      <c r="G446" s="321">
        <f>G447</f>
        <v>0</v>
      </c>
      <c r="H446" s="321">
        <f t="shared" ref="H446" si="237">H447</f>
        <v>0</v>
      </c>
      <c r="I446" s="321" t="e">
        <f t="shared" si="212"/>
        <v>#DIV/0!</v>
      </c>
    </row>
    <row r="447" spans="1:9" s="211" customFormat="1" ht="31.5" hidden="1" x14ac:dyDescent="0.25">
      <c r="A447" s="349" t="s">
        <v>148</v>
      </c>
      <c r="B447" s="346">
        <v>903</v>
      </c>
      <c r="C447" s="347" t="s">
        <v>314</v>
      </c>
      <c r="D447" s="347" t="s">
        <v>165</v>
      </c>
      <c r="E447" s="347" t="s">
        <v>904</v>
      </c>
      <c r="F447" s="347" t="s">
        <v>149</v>
      </c>
      <c r="G447" s="321">
        <v>0</v>
      </c>
      <c r="H447" s="321">
        <v>0</v>
      </c>
      <c r="I447" s="321" t="e">
        <f t="shared" si="212"/>
        <v>#DIV/0!</v>
      </c>
    </row>
    <row r="448" spans="1:9" s="211" customFormat="1" ht="31.5" x14ac:dyDescent="0.25">
      <c r="A448" s="349" t="s">
        <v>883</v>
      </c>
      <c r="B448" s="346">
        <v>903</v>
      </c>
      <c r="C448" s="347" t="s">
        <v>314</v>
      </c>
      <c r="D448" s="347" t="s">
        <v>165</v>
      </c>
      <c r="E448" s="347" t="s">
        <v>906</v>
      </c>
      <c r="F448" s="347"/>
      <c r="G448" s="321">
        <f>G449</f>
        <v>18</v>
      </c>
      <c r="H448" s="321">
        <f t="shared" ref="H448:H449" si="238">H449</f>
        <v>18</v>
      </c>
      <c r="I448" s="321">
        <f t="shared" si="212"/>
        <v>100</v>
      </c>
    </row>
    <row r="449" spans="1:9" s="211" customFormat="1" ht="78.75" x14ac:dyDescent="0.25">
      <c r="A449" s="349" t="s">
        <v>142</v>
      </c>
      <c r="B449" s="346">
        <v>903</v>
      </c>
      <c r="C449" s="347" t="s">
        <v>314</v>
      </c>
      <c r="D449" s="347" t="s">
        <v>165</v>
      </c>
      <c r="E449" s="347" t="s">
        <v>906</v>
      </c>
      <c r="F449" s="347" t="s">
        <v>143</v>
      </c>
      <c r="G449" s="321">
        <f>G450</f>
        <v>18</v>
      </c>
      <c r="H449" s="321">
        <f t="shared" si="238"/>
        <v>18</v>
      </c>
      <c r="I449" s="321">
        <f t="shared" si="212"/>
        <v>100</v>
      </c>
    </row>
    <row r="450" spans="1:9" s="211" customFormat="1" ht="31.5" x14ac:dyDescent="0.25">
      <c r="A450" s="349" t="s">
        <v>144</v>
      </c>
      <c r="B450" s="346">
        <v>903</v>
      </c>
      <c r="C450" s="347" t="s">
        <v>314</v>
      </c>
      <c r="D450" s="347" t="s">
        <v>165</v>
      </c>
      <c r="E450" s="347" t="s">
        <v>906</v>
      </c>
      <c r="F450" s="347" t="s">
        <v>145</v>
      </c>
      <c r="G450" s="321">
        <f>126-108</f>
        <v>18</v>
      </c>
      <c r="H450" s="321">
        <v>18</v>
      </c>
      <c r="I450" s="321">
        <f t="shared" si="212"/>
        <v>100</v>
      </c>
    </row>
    <row r="451" spans="1:9" s="310" customFormat="1" ht="31.5" x14ac:dyDescent="0.25">
      <c r="A451" s="349" t="s">
        <v>1582</v>
      </c>
      <c r="B451" s="346">
        <v>903</v>
      </c>
      <c r="C451" s="347" t="s">
        <v>314</v>
      </c>
      <c r="D451" s="347" t="s">
        <v>165</v>
      </c>
      <c r="E451" s="347" t="s">
        <v>1584</v>
      </c>
      <c r="F451" s="347"/>
      <c r="G451" s="321">
        <f>G452</f>
        <v>58.290750000000003</v>
      </c>
      <c r="H451" s="321">
        <f>H452</f>
        <v>58.297499999999999</v>
      </c>
      <c r="I451" s="321">
        <f t="shared" si="212"/>
        <v>100.01157988188521</v>
      </c>
    </row>
    <row r="452" spans="1:9" s="310" customFormat="1" ht="78.75" x14ac:dyDescent="0.25">
      <c r="A452" s="349" t="s">
        <v>142</v>
      </c>
      <c r="B452" s="346">
        <v>903</v>
      </c>
      <c r="C452" s="347" t="s">
        <v>314</v>
      </c>
      <c r="D452" s="347" t="s">
        <v>165</v>
      </c>
      <c r="E452" s="347" t="s">
        <v>1584</v>
      </c>
      <c r="F452" s="347" t="s">
        <v>143</v>
      </c>
      <c r="G452" s="321">
        <f>G453</f>
        <v>58.290750000000003</v>
      </c>
      <c r="H452" s="321">
        <f t="shared" ref="H452" si="239">H453</f>
        <v>58.297499999999999</v>
      </c>
      <c r="I452" s="321">
        <f t="shared" si="212"/>
        <v>100.01157988188521</v>
      </c>
    </row>
    <row r="453" spans="1:9" s="310" customFormat="1" ht="31.5" x14ac:dyDescent="0.25">
      <c r="A453" s="349" t="s">
        <v>144</v>
      </c>
      <c r="B453" s="346">
        <v>903</v>
      </c>
      <c r="C453" s="347" t="s">
        <v>314</v>
      </c>
      <c r="D453" s="347" t="s">
        <v>165</v>
      </c>
      <c r="E453" s="347" t="s">
        <v>1584</v>
      </c>
      <c r="F453" s="347" t="s">
        <v>145</v>
      </c>
      <c r="G453" s="321">
        <f>58.29075</f>
        <v>58.290750000000003</v>
      </c>
      <c r="H453" s="321">
        <v>58.297499999999999</v>
      </c>
      <c r="I453" s="321">
        <f t="shared" si="212"/>
        <v>100.01157988188521</v>
      </c>
    </row>
    <row r="454" spans="1:9" s="211" customFormat="1" ht="15.75" x14ac:dyDescent="0.25">
      <c r="A454" s="318" t="s">
        <v>997</v>
      </c>
      <c r="B454" s="315">
        <v>903</v>
      </c>
      <c r="C454" s="319" t="s">
        <v>314</v>
      </c>
      <c r="D454" s="319" t="s">
        <v>165</v>
      </c>
      <c r="E454" s="319" t="s">
        <v>910</v>
      </c>
      <c r="F454" s="319"/>
      <c r="G454" s="317">
        <f>G455</f>
        <v>10845.800000000005</v>
      </c>
      <c r="H454" s="317">
        <f t="shared" ref="H454" si="240">H455</f>
        <v>10843.674320000002</v>
      </c>
      <c r="I454" s="317">
        <f t="shared" si="212"/>
        <v>99.980400892511355</v>
      </c>
    </row>
    <row r="455" spans="1:9" s="211" customFormat="1" ht="31.7" customHeight="1" x14ac:dyDescent="0.25">
      <c r="A455" s="318" t="s">
        <v>1000</v>
      </c>
      <c r="B455" s="315">
        <v>903</v>
      </c>
      <c r="C455" s="319" t="s">
        <v>314</v>
      </c>
      <c r="D455" s="319" t="s">
        <v>165</v>
      </c>
      <c r="E455" s="319" t="s">
        <v>985</v>
      </c>
      <c r="F455" s="319"/>
      <c r="G455" s="317">
        <f>G456+G463</f>
        <v>10845.800000000005</v>
      </c>
      <c r="H455" s="317">
        <f t="shared" ref="H455" si="241">H456+H463</f>
        <v>10843.674320000002</v>
      </c>
      <c r="I455" s="317">
        <f t="shared" si="212"/>
        <v>99.980400892511355</v>
      </c>
    </row>
    <row r="456" spans="1:9" s="211" customFormat="1" ht="30.75" customHeight="1" x14ac:dyDescent="0.25">
      <c r="A456" s="349" t="s">
        <v>972</v>
      </c>
      <c r="B456" s="346">
        <v>903</v>
      </c>
      <c r="C456" s="347" t="s">
        <v>314</v>
      </c>
      <c r="D456" s="347" t="s">
        <v>165</v>
      </c>
      <c r="E456" s="347" t="s">
        <v>986</v>
      </c>
      <c r="F456" s="347"/>
      <c r="G456" s="321">
        <f>G457+G459+G461</f>
        <v>10642.900000000005</v>
      </c>
      <c r="H456" s="321">
        <f t="shared" ref="H456" si="242">H457+H459+H461</f>
        <v>10640.840320000001</v>
      </c>
      <c r="I456" s="321">
        <f t="shared" si="212"/>
        <v>99.980647379943406</v>
      </c>
    </row>
    <row r="457" spans="1:9" s="211" customFormat="1" ht="78.75" x14ac:dyDescent="0.25">
      <c r="A457" s="349" t="s">
        <v>142</v>
      </c>
      <c r="B457" s="346">
        <v>903</v>
      </c>
      <c r="C457" s="347" t="s">
        <v>314</v>
      </c>
      <c r="D457" s="347" t="s">
        <v>165</v>
      </c>
      <c r="E457" s="347" t="s">
        <v>986</v>
      </c>
      <c r="F457" s="347" t="s">
        <v>143</v>
      </c>
      <c r="G457" s="321">
        <f>G458</f>
        <v>8854.2000000000044</v>
      </c>
      <c r="H457" s="321">
        <f t="shared" ref="H457" si="243">H458</f>
        <v>8854.0991200000008</v>
      </c>
      <c r="I457" s="321">
        <f t="shared" ref="I457:I520" si="244">H457/G457*100</f>
        <v>99.99886065370103</v>
      </c>
    </row>
    <row r="458" spans="1:9" s="211" customFormat="1" ht="14.25" customHeight="1" x14ac:dyDescent="0.25">
      <c r="A458" s="349" t="s">
        <v>357</v>
      </c>
      <c r="B458" s="346">
        <v>903</v>
      </c>
      <c r="C458" s="347" t="s">
        <v>314</v>
      </c>
      <c r="D458" s="347" t="s">
        <v>165</v>
      </c>
      <c r="E458" s="347" t="s">
        <v>986</v>
      </c>
      <c r="F458" s="347" t="s">
        <v>224</v>
      </c>
      <c r="G458" s="339">
        <f>8048+116.1+37+22.3+66.4-11.8+52.6+340.2+39.7-30.8+138.1+38.7-12+2.6+7.1</f>
        <v>8854.2000000000044</v>
      </c>
      <c r="H458" s="339">
        <v>8854.0991200000008</v>
      </c>
      <c r="I458" s="321">
        <f t="shared" si="244"/>
        <v>99.99886065370103</v>
      </c>
    </row>
    <row r="459" spans="1:9" s="211" customFormat="1" ht="31.5" x14ac:dyDescent="0.25">
      <c r="A459" s="349" t="s">
        <v>146</v>
      </c>
      <c r="B459" s="346">
        <v>903</v>
      </c>
      <c r="C459" s="347" t="s">
        <v>314</v>
      </c>
      <c r="D459" s="347" t="s">
        <v>165</v>
      </c>
      <c r="E459" s="347" t="s">
        <v>986</v>
      </c>
      <c r="F459" s="347" t="s">
        <v>147</v>
      </c>
      <c r="G459" s="321">
        <f>G460</f>
        <v>1756.7</v>
      </c>
      <c r="H459" s="321">
        <f t="shared" ref="H459" si="245">H460</f>
        <v>1754.7942</v>
      </c>
      <c r="I459" s="321">
        <f t="shared" si="244"/>
        <v>99.891512495019072</v>
      </c>
    </row>
    <row r="460" spans="1:9" s="211" customFormat="1" ht="31.5" x14ac:dyDescent="0.25">
      <c r="A460" s="349" t="s">
        <v>148</v>
      </c>
      <c r="B460" s="346">
        <v>903</v>
      </c>
      <c r="C460" s="347" t="s">
        <v>314</v>
      </c>
      <c r="D460" s="347" t="s">
        <v>165</v>
      </c>
      <c r="E460" s="347" t="s">
        <v>986</v>
      </c>
      <c r="F460" s="347" t="s">
        <v>149</v>
      </c>
      <c r="G460" s="339">
        <f>1936.4+0.6-3.1-26.9+7.2+19.7-5.9-10-50-1.5-100.2-8-1.6</f>
        <v>1756.7</v>
      </c>
      <c r="H460" s="339">
        <v>1754.7942</v>
      </c>
      <c r="I460" s="321">
        <f t="shared" si="244"/>
        <v>99.891512495019072</v>
      </c>
    </row>
    <row r="461" spans="1:9" s="211" customFormat="1" ht="15.75" x14ac:dyDescent="0.25">
      <c r="A461" s="349" t="s">
        <v>150</v>
      </c>
      <c r="B461" s="346">
        <v>903</v>
      </c>
      <c r="C461" s="347" t="s">
        <v>314</v>
      </c>
      <c r="D461" s="347" t="s">
        <v>165</v>
      </c>
      <c r="E461" s="347" t="s">
        <v>986</v>
      </c>
      <c r="F461" s="347" t="s">
        <v>160</v>
      </c>
      <c r="G461" s="321">
        <f>G462</f>
        <v>32</v>
      </c>
      <c r="H461" s="321">
        <f t="shared" ref="H461" si="246">H462</f>
        <v>31.946999999999999</v>
      </c>
      <c r="I461" s="321">
        <f t="shared" si="244"/>
        <v>99.834374999999994</v>
      </c>
    </row>
    <row r="462" spans="1:9" s="211" customFormat="1" ht="15.75" x14ac:dyDescent="0.25">
      <c r="A462" s="349" t="s">
        <v>583</v>
      </c>
      <c r="B462" s="346">
        <v>903</v>
      </c>
      <c r="C462" s="347" t="s">
        <v>314</v>
      </c>
      <c r="D462" s="347" t="s">
        <v>165</v>
      </c>
      <c r="E462" s="347" t="s">
        <v>986</v>
      </c>
      <c r="F462" s="347" t="s">
        <v>153</v>
      </c>
      <c r="G462" s="321">
        <f>14+3.1+6.2+9.9-0.5-0.7</f>
        <v>32</v>
      </c>
      <c r="H462" s="321">
        <v>31.946999999999999</v>
      </c>
      <c r="I462" s="321">
        <f t="shared" si="244"/>
        <v>99.834374999999994</v>
      </c>
    </row>
    <row r="463" spans="1:9" s="211" customFormat="1" ht="31.5" x14ac:dyDescent="0.25">
      <c r="A463" s="349" t="s">
        <v>883</v>
      </c>
      <c r="B463" s="346">
        <v>903</v>
      </c>
      <c r="C463" s="347" t="s">
        <v>314</v>
      </c>
      <c r="D463" s="347" t="s">
        <v>165</v>
      </c>
      <c r="E463" s="347" t="s">
        <v>987</v>
      </c>
      <c r="F463" s="347"/>
      <c r="G463" s="321">
        <f>G464</f>
        <v>202.9</v>
      </c>
      <c r="H463" s="321">
        <f t="shared" ref="H463:H464" si="247">H464</f>
        <v>202.834</v>
      </c>
      <c r="I463" s="321">
        <f t="shared" si="244"/>
        <v>99.967471660916701</v>
      </c>
    </row>
    <row r="464" spans="1:9" s="211" customFormat="1" ht="78.75" x14ac:dyDescent="0.25">
      <c r="A464" s="349" t="s">
        <v>142</v>
      </c>
      <c r="B464" s="346">
        <v>903</v>
      </c>
      <c r="C464" s="347" t="s">
        <v>314</v>
      </c>
      <c r="D464" s="347" t="s">
        <v>165</v>
      </c>
      <c r="E464" s="347" t="s">
        <v>987</v>
      </c>
      <c r="F464" s="347" t="s">
        <v>143</v>
      </c>
      <c r="G464" s="321">
        <f>G465</f>
        <v>202.9</v>
      </c>
      <c r="H464" s="321">
        <f t="shared" si="247"/>
        <v>202.834</v>
      </c>
      <c r="I464" s="321">
        <f t="shared" si="244"/>
        <v>99.967471660916701</v>
      </c>
    </row>
    <row r="465" spans="1:9" s="211" customFormat="1" ht="15.75" x14ac:dyDescent="0.25">
      <c r="A465" s="349" t="s">
        <v>357</v>
      </c>
      <c r="B465" s="346">
        <v>903</v>
      </c>
      <c r="C465" s="347" t="s">
        <v>314</v>
      </c>
      <c r="D465" s="347" t="s">
        <v>165</v>
      </c>
      <c r="E465" s="347" t="s">
        <v>987</v>
      </c>
      <c r="F465" s="347" t="s">
        <v>224</v>
      </c>
      <c r="G465" s="321">
        <f>210-7.1</f>
        <v>202.9</v>
      </c>
      <c r="H465" s="321">
        <v>202.834</v>
      </c>
      <c r="I465" s="321">
        <f t="shared" si="244"/>
        <v>99.967471660916701</v>
      </c>
    </row>
    <row r="466" spans="1:9" ht="47.25" x14ac:dyDescent="0.25">
      <c r="A466" s="318" t="s">
        <v>358</v>
      </c>
      <c r="B466" s="315">
        <v>903</v>
      </c>
      <c r="C466" s="319" t="s">
        <v>314</v>
      </c>
      <c r="D466" s="319" t="s">
        <v>165</v>
      </c>
      <c r="E466" s="319" t="s">
        <v>359</v>
      </c>
      <c r="F466" s="319"/>
      <c r="G466" s="317">
        <f>G467</f>
        <v>238.5</v>
      </c>
      <c r="H466" s="317">
        <f t="shared" ref="H466:H470" si="248">H467</f>
        <v>238.46700000000001</v>
      </c>
      <c r="I466" s="317">
        <f t="shared" si="244"/>
        <v>99.986163522012589</v>
      </c>
    </row>
    <row r="467" spans="1:9" ht="47.25" x14ac:dyDescent="0.25">
      <c r="A467" s="318" t="s">
        <v>379</v>
      </c>
      <c r="B467" s="315">
        <v>903</v>
      </c>
      <c r="C467" s="319" t="s">
        <v>314</v>
      </c>
      <c r="D467" s="319" t="s">
        <v>165</v>
      </c>
      <c r="E467" s="319" t="s">
        <v>380</v>
      </c>
      <c r="F467" s="319"/>
      <c r="G467" s="317">
        <f>G468</f>
        <v>238.5</v>
      </c>
      <c r="H467" s="317">
        <f t="shared" si="248"/>
        <v>238.46700000000001</v>
      </c>
      <c r="I467" s="317">
        <f t="shared" si="244"/>
        <v>99.986163522012589</v>
      </c>
    </row>
    <row r="468" spans="1:9" s="211" customFormat="1" ht="31.5" x14ac:dyDescent="0.25">
      <c r="A468" s="318" t="s">
        <v>1145</v>
      </c>
      <c r="B468" s="315">
        <v>903</v>
      </c>
      <c r="C468" s="319" t="s">
        <v>314</v>
      </c>
      <c r="D468" s="319" t="s">
        <v>165</v>
      </c>
      <c r="E468" s="319" t="s">
        <v>964</v>
      </c>
      <c r="F468" s="319"/>
      <c r="G468" s="317">
        <f>G469</f>
        <v>238.5</v>
      </c>
      <c r="H468" s="317">
        <f t="shared" si="248"/>
        <v>238.46700000000001</v>
      </c>
      <c r="I468" s="317">
        <f t="shared" si="244"/>
        <v>99.986163522012589</v>
      </c>
    </row>
    <row r="469" spans="1:9" ht="15.75" x14ac:dyDescent="0.25">
      <c r="A469" s="349" t="s">
        <v>1144</v>
      </c>
      <c r="B469" s="346">
        <v>903</v>
      </c>
      <c r="C469" s="347" t="s">
        <v>314</v>
      </c>
      <c r="D469" s="347" t="s">
        <v>165</v>
      </c>
      <c r="E469" s="347" t="s">
        <v>1221</v>
      </c>
      <c r="F469" s="347"/>
      <c r="G469" s="321">
        <f>G470</f>
        <v>238.5</v>
      </c>
      <c r="H469" s="321">
        <f t="shared" si="248"/>
        <v>238.46700000000001</v>
      </c>
      <c r="I469" s="321">
        <f t="shared" si="244"/>
        <v>99.986163522012589</v>
      </c>
    </row>
    <row r="470" spans="1:9" ht="31.5" x14ac:dyDescent="0.25">
      <c r="A470" s="349" t="s">
        <v>146</v>
      </c>
      <c r="B470" s="346">
        <v>903</v>
      </c>
      <c r="C470" s="347" t="s">
        <v>314</v>
      </c>
      <c r="D470" s="347" t="s">
        <v>165</v>
      </c>
      <c r="E470" s="347" t="s">
        <v>1221</v>
      </c>
      <c r="F470" s="347" t="s">
        <v>147</v>
      </c>
      <c r="G470" s="321">
        <f>G471</f>
        <v>238.5</v>
      </c>
      <c r="H470" s="321">
        <f t="shared" si="248"/>
        <v>238.46700000000001</v>
      </c>
      <c r="I470" s="321">
        <f t="shared" si="244"/>
        <v>99.986163522012589</v>
      </c>
    </row>
    <row r="471" spans="1:9" ht="31.5" x14ac:dyDescent="0.25">
      <c r="A471" s="349" t="s">
        <v>148</v>
      </c>
      <c r="B471" s="346">
        <v>903</v>
      </c>
      <c r="C471" s="347" t="s">
        <v>314</v>
      </c>
      <c r="D471" s="347" t="s">
        <v>165</v>
      </c>
      <c r="E471" s="347" t="s">
        <v>1221</v>
      </c>
      <c r="F471" s="347" t="s">
        <v>149</v>
      </c>
      <c r="G471" s="321">
        <f>210+50-24+24-21.5</f>
        <v>238.5</v>
      </c>
      <c r="H471" s="321">
        <v>238.46700000000001</v>
      </c>
      <c r="I471" s="321">
        <f t="shared" si="244"/>
        <v>99.986163522012589</v>
      </c>
    </row>
    <row r="472" spans="1:9" ht="15.75" x14ac:dyDescent="0.25">
      <c r="A472" s="318" t="s">
        <v>258</v>
      </c>
      <c r="B472" s="315">
        <v>903</v>
      </c>
      <c r="C472" s="319" t="s">
        <v>259</v>
      </c>
      <c r="D472" s="319"/>
      <c r="E472" s="319"/>
      <c r="F472" s="319"/>
      <c r="G472" s="317">
        <f>G473</f>
        <v>1324.9</v>
      </c>
      <c r="H472" s="317">
        <f t="shared" ref="H472:H473" si="249">H473</f>
        <v>1324.6980000000001</v>
      </c>
      <c r="I472" s="317">
        <f t="shared" si="244"/>
        <v>99.984753566306892</v>
      </c>
    </row>
    <row r="473" spans="1:9" ht="15.75" x14ac:dyDescent="0.25">
      <c r="A473" s="318" t="s">
        <v>267</v>
      </c>
      <c r="B473" s="315">
        <v>903</v>
      </c>
      <c r="C473" s="319" t="s">
        <v>259</v>
      </c>
      <c r="D473" s="319" t="s">
        <v>230</v>
      </c>
      <c r="E473" s="319"/>
      <c r="F473" s="319"/>
      <c r="G473" s="317">
        <f>G474</f>
        <v>1324.9</v>
      </c>
      <c r="H473" s="317">
        <f t="shared" si="249"/>
        <v>1324.6980000000001</v>
      </c>
      <c r="I473" s="317">
        <f t="shared" si="244"/>
        <v>99.984753566306892</v>
      </c>
    </row>
    <row r="474" spans="1:9" ht="47.25" x14ac:dyDescent="0.25">
      <c r="A474" s="318" t="s">
        <v>358</v>
      </c>
      <c r="B474" s="315">
        <v>903</v>
      </c>
      <c r="C474" s="319" t="s">
        <v>259</v>
      </c>
      <c r="D474" s="319" t="s">
        <v>230</v>
      </c>
      <c r="E474" s="319" t="s">
        <v>359</v>
      </c>
      <c r="F474" s="319"/>
      <c r="G474" s="317">
        <f>G475+G480+G485+G496</f>
        <v>1324.9</v>
      </c>
      <c r="H474" s="317">
        <f t="shared" ref="H474" si="250">H475+H480+H485+H496</f>
        <v>1324.6980000000001</v>
      </c>
      <c r="I474" s="317">
        <f t="shared" si="244"/>
        <v>99.984753566306892</v>
      </c>
    </row>
    <row r="475" spans="1:9" ht="15.75" x14ac:dyDescent="0.25">
      <c r="A475" s="318" t="s">
        <v>367</v>
      </c>
      <c r="B475" s="315">
        <v>903</v>
      </c>
      <c r="C475" s="319" t="s">
        <v>259</v>
      </c>
      <c r="D475" s="319" t="s">
        <v>230</v>
      </c>
      <c r="E475" s="319" t="s">
        <v>368</v>
      </c>
      <c r="F475" s="319"/>
      <c r="G475" s="317">
        <f>G476</f>
        <v>169.20000000000002</v>
      </c>
      <c r="H475" s="317">
        <f t="shared" ref="H475:H478" si="251">H476</f>
        <v>169.05</v>
      </c>
      <c r="I475" s="317">
        <f t="shared" si="244"/>
        <v>99.911347517730491</v>
      </c>
    </row>
    <row r="476" spans="1:9" s="211" customFormat="1" ht="33.75" customHeight="1" x14ac:dyDescent="0.25">
      <c r="A476" s="318" t="s">
        <v>974</v>
      </c>
      <c r="B476" s="315">
        <v>903</v>
      </c>
      <c r="C476" s="319" t="s">
        <v>259</v>
      </c>
      <c r="D476" s="319" t="s">
        <v>230</v>
      </c>
      <c r="E476" s="319" t="s">
        <v>973</v>
      </c>
      <c r="F476" s="319"/>
      <c r="G476" s="317">
        <f>G477</f>
        <v>169.20000000000002</v>
      </c>
      <c r="H476" s="317">
        <f t="shared" si="251"/>
        <v>169.05</v>
      </c>
      <c r="I476" s="317">
        <f t="shared" si="244"/>
        <v>99.911347517730491</v>
      </c>
    </row>
    <row r="477" spans="1:9" ht="31.5" x14ac:dyDescent="0.25">
      <c r="A477" s="349" t="s">
        <v>867</v>
      </c>
      <c r="B477" s="346">
        <v>903</v>
      </c>
      <c r="C477" s="347" t="s">
        <v>259</v>
      </c>
      <c r="D477" s="347" t="s">
        <v>230</v>
      </c>
      <c r="E477" s="347" t="s">
        <v>975</v>
      </c>
      <c r="F477" s="347"/>
      <c r="G477" s="321">
        <f>G478</f>
        <v>169.20000000000002</v>
      </c>
      <c r="H477" s="321">
        <f t="shared" si="251"/>
        <v>169.05</v>
      </c>
      <c r="I477" s="321">
        <f t="shared" si="244"/>
        <v>99.911347517730491</v>
      </c>
    </row>
    <row r="478" spans="1:9" ht="15.75" x14ac:dyDescent="0.25">
      <c r="A478" s="349" t="s">
        <v>263</v>
      </c>
      <c r="B478" s="346">
        <v>903</v>
      </c>
      <c r="C478" s="347" t="s">
        <v>259</v>
      </c>
      <c r="D478" s="347" t="s">
        <v>230</v>
      </c>
      <c r="E478" s="347" t="s">
        <v>975</v>
      </c>
      <c r="F478" s="347" t="s">
        <v>264</v>
      </c>
      <c r="G478" s="321">
        <f>G479</f>
        <v>169.20000000000002</v>
      </c>
      <c r="H478" s="321">
        <f t="shared" si="251"/>
        <v>169.05</v>
      </c>
      <c r="I478" s="321">
        <f t="shared" si="244"/>
        <v>99.911347517730491</v>
      </c>
    </row>
    <row r="479" spans="1:9" ht="31.5" x14ac:dyDescent="0.25">
      <c r="A479" s="349" t="s">
        <v>265</v>
      </c>
      <c r="B479" s="346">
        <v>903</v>
      </c>
      <c r="C479" s="347" t="s">
        <v>259</v>
      </c>
      <c r="D479" s="347" t="s">
        <v>230</v>
      </c>
      <c r="E479" s="347" t="s">
        <v>975</v>
      </c>
      <c r="F479" s="347" t="s">
        <v>266</v>
      </c>
      <c r="G479" s="321">
        <f>28.9+140.3</f>
        <v>169.20000000000002</v>
      </c>
      <c r="H479" s="321">
        <v>169.05</v>
      </c>
      <c r="I479" s="321">
        <f t="shared" si="244"/>
        <v>99.911347517730491</v>
      </c>
    </row>
    <row r="480" spans="1:9" ht="31.5" x14ac:dyDescent="0.25">
      <c r="A480" s="318" t="s">
        <v>370</v>
      </c>
      <c r="B480" s="315">
        <v>903</v>
      </c>
      <c r="C480" s="315">
        <v>10</v>
      </c>
      <c r="D480" s="319" t="s">
        <v>230</v>
      </c>
      <c r="E480" s="319" t="s">
        <v>371</v>
      </c>
      <c r="F480" s="319"/>
      <c r="G480" s="317">
        <f>G482</f>
        <v>280</v>
      </c>
      <c r="H480" s="317">
        <f t="shared" ref="H480" si="252">H482</f>
        <v>280</v>
      </c>
      <c r="I480" s="317">
        <f t="shared" si="244"/>
        <v>100</v>
      </c>
    </row>
    <row r="481" spans="1:9" s="211" customFormat="1" ht="31.5" x14ac:dyDescent="0.25">
      <c r="A481" s="318" t="s">
        <v>1146</v>
      </c>
      <c r="B481" s="315">
        <v>903</v>
      </c>
      <c r="C481" s="315">
        <v>10</v>
      </c>
      <c r="D481" s="319" t="s">
        <v>230</v>
      </c>
      <c r="E481" s="319" t="s">
        <v>976</v>
      </c>
      <c r="F481" s="319"/>
      <c r="G481" s="317">
        <f>G482</f>
        <v>280</v>
      </c>
      <c r="H481" s="317">
        <f t="shared" ref="H481:H483" si="253">H482</f>
        <v>280</v>
      </c>
      <c r="I481" s="317">
        <f t="shared" si="244"/>
        <v>100</v>
      </c>
    </row>
    <row r="482" spans="1:9" ht="15.75" x14ac:dyDescent="0.25">
      <c r="A482" s="349" t="s">
        <v>1201</v>
      </c>
      <c r="B482" s="346">
        <v>903</v>
      </c>
      <c r="C482" s="347" t="s">
        <v>259</v>
      </c>
      <c r="D482" s="347" t="s">
        <v>230</v>
      </c>
      <c r="E482" s="347" t="s">
        <v>977</v>
      </c>
      <c r="F482" s="347"/>
      <c r="G482" s="321">
        <f>G483</f>
        <v>280</v>
      </c>
      <c r="H482" s="321">
        <f t="shared" si="253"/>
        <v>280</v>
      </c>
      <c r="I482" s="321">
        <f t="shared" si="244"/>
        <v>100</v>
      </c>
    </row>
    <row r="483" spans="1:9" ht="15.75" x14ac:dyDescent="0.25">
      <c r="A483" s="349" t="s">
        <v>263</v>
      </c>
      <c r="B483" s="346">
        <v>903</v>
      </c>
      <c r="C483" s="347" t="s">
        <v>259</v>
      </c>
      <c r="D483" s="347" t="s">
        <v>230</v>
      </c>
      <c r="E483" s="347" t="s">
        <v>977</v>
      </c>
      <c r="F483" s="347" t="s">
        <v>264</v>
      </c>
      <c r="G483" s="321">
        <f>G484</f>
        <v>280</v>
      </c>
      <c r="H483" s="321">
        <f t="shared" si="253"/>
        <v>280</v>
      </c>
      <c r="I483" s="321">
        <f t="shared" si="244"/>
        <v>100</v>
      </c>
    </row>
    <row r="484" spans="1:9" ht="15.75" x14ac:dyDescent="0.25">
      <c r="A484" s="349" t="s">
        <v>363</v>
      </c>
      <c r="B484" s="346">
        <v>903</v>
      </c>
      <c r="C484" s="347" t="s">
        <v>259</v>
      </c>
      <c r="D484" s="347" t="s">
        <v>230</v>
      </c>
      <c r="E484" s="347" t="s">
        <v>977</v>
      </c>
      <c r="F484" s="347" t="s">
        <v>364</v>
      </c>
      <c r="G484" s="321">
        <f>420-140-40+40</f>
        <v>280</v>
      </c>
      <c r="H484" s="321">
        <v>280</v>
      </c>
      <c r="I484" s="321">
        <f t="shared" si="244"/>
        <v>100</v>
      </c>
    </row>
    <row r="485" spans="1:9" ht="15.75" x14ac:dyDescent="0.25">
      <c r="A485" s="318" t="s">
        <v>373</v>
      </c>
      <c r="B485" s="315">
        <v>903</v>
      </c>
      <c r="C485" s="315">
        <v>10</v>
      </c>
      <c r="D485" s="319" t="s">
        <v>230</v>
      </c>
      <c r="E485" s="319" t="s">
        <v>374</v>
      </c>
      <c r="F485" s="319"/>
      <c r="G485" s="317">
        <f>G490+G486</f>
        <v>681.7</v>
      </c>
      <c r="H485" s="317">
        <f t="shared" ref="H485" si="254">H490+H486</f>
        <v>681.64800000000002</v>
      </c>
      <c r="I485" s="317">
        <f t="shared" si="244"/>
        <v>99.992372011148603</v>
      </c>
    </row>
    <row r="486" spans="1:9" s="211" customFormat="1" ht="31.5" x14ac:dyDescent="0.25">
      <c r="A486" s="318" t="s">
        <v>1203</v>
      </c>
      <c r="B486" s="315">
        <v>903</v>
      </c>
      <c r="C486" s="319" t="s">
        <v>259</v>
      </c>
      <c r="D486" s="319" t="s">
        <v>230</v>
      </c>
      <c r="E486" s="319" t="s">
        <v>979</v>
      </c>
      <c r="F486" s="319"/>
      <c r="G486" s="317">
        <f>G487</f>
        <v>498</v>
      </c>
      <c r="H486" s="317">
        <f t="shared" ref="H486:H488" si="255">H487</f>
        <v>497.95</v>
      </c>
      <c r="I486" s="317">
        <f t="shared" si="244"/>
        <v>99.989959839357425</v>
      </c>
    </row>
    <row r="487" spans="1:9" s="211" customFormat="1" ht="44.1" customHeight="1" x14ac:dyDescent="0.25">
      <c r="A487" s="99" t="s">
        <v>1204</v>
      </c>
      <c r="B487" s="346">
        <v>903</v>
      </c>
      <c r="C487" s="347" t="s">
        <v>259</v>
      </c>
      <c r="D487" s="347" t="s">
        <v>230</v>
      </c>
      <c r="E487" s="347" t="s">
        <v>980</v>
      </c>
      <c r="F487" s="347"/>
      <c r="G487" s="321">
        <f>G488</f>
        <v>498</v>
      </c>
      <c r="H487" s="321">
        <f t="shared" si="255"/>
        <v>497.95</v>
      </c>
      <c r="I487" s="321">
        <f t="shared" si="244"/>
        <v>99.989959839357425</v>
      </c>
    </row>
    <row r="488" spans="1:9" s="211" customFormat="1" ht="15.75" x14ac:dyDescent="0.25">
      <c r="A488" s="349" t="s">
        <v>263</v>
      </c>
      <c r="B488" s="346">
        <v>903</v>
      </c>
      <c r="C488" s="347" t="s">
        <v>259</v>
      </c>
      <c r="D488" s="347" t="s">
        <v>230</v>
      </c>
      <c r="E488" s="347" t="s">
        <v>980</v>
      </c>
      <c r="F488" s="347" t="s">
        <v>264</v>
      </c>
      <c r="G488" s="321">
        <f>G489</f>
        <v>498</v>
      </c>
      <c r="H488" s="321">
        <f t="shared" si="255"/>
        <v>497.95</v>
      </c>
      <c r="I488" s="321">
        <f t="shared" si="244"/>
        <v>99.989959839357425</v>
      </c>
    </row>
    <row r="489" spans="1:9" s="211" customFormat="1" ht="15.75" x14ac:dyDescent="0.25">
      <c r="A489" s="349" t="s">
        <v>363</v>
      </c>
      <c r="B489" s="346">
        <v>903</v>
      </c>
      <c r="C489" s="347" t="s">
        <v>259</v>
      </c>
      <c r="D489" s="347" t="s">
        <v>230</v>
      </c>
      <c r="E489" s="347" t="s">
        <v>980</v>
      </c>
      <c r="F489" s="347" t="s">
        <v>364</v>
      </c>
      <c r="G489" s="321">
        <f>630-150+6.5+11.5</f>
        <v>498</v>
      </c>
      <c r="H489" s="321">
        <v>497.95</v>
      </c>
      <c r="I489" s="321">
        <f t="shared" si="244"/>
        <v>99.989959839357425</v>
      </c>
    </row>
    <row r="490" spans="1:9" s="211" customFormat="1" ht="31.5" x14ac:dyDescent="0.25">
      <c r="A490" s="318" t="s">
        <v>978</v>
      </c>
      <c r="B490" s="315">
        <v>903</v>
      </c>
      <c r="C490" s="315">
        <v>10</v>
      </c>
      <c r="D490" s="319" t="s">
        <v>230</v>
      </c>
      <c r="E490" s="319" t="s">
        <v>981</v>
      </c>
      <c r="F490" s="319"/>
      <c r="G490" s="317">
        <f>G491+G494</f>
        <v>183.7</v>
      </c>
      <c r="H490" s="317">
        <f t="shared" ref="H490" si="256">H491+H494</f>
        <v>183.69800000000001</v>
      </c>
      <c r="I490" s="317">
        <f t="shared" si="244"/>
        <v>99.998911268372353</v>
      </c>
    </row>
    <row r="491" spans="1:9" ht="15.75" x14ac:dyDescent="0.25">
      <c r="A491" s="349" t="s">
        <v>1147</v>
      </c>
      <c r="B491" s="346">
        <v>903</v>
      </c>
      <c r="C491" s="347" t="s">
        <v>259</v>
      </c>
      <c r="D491" s="347" t="s">
        <v>230</v>
      </c>
      <c r="E491" s="347" t="s">
        <v>982</v>
      </c>
      <c r="F491" s="347"/>
      <c r="G491" s="321">
        <f>G492</f>
        <v>183.7</v>
      </c>
      <c r="H491" s="321">
        <f t="shared" ref="H491:H492" si="257">H492</f>
        <v>183.69800000000001</v>
      </c>
      <c r="I491" s="321">
        <f t="shared" si="244"/>
        <v>99.998911268372353</v>
      </c>
    </row>
    <row r="492" spans="1:9" ht="31.5" x14ac:dyDescent="0.25">
      <c r="A492" s="349" t="s">
        <v>146</v>
      </c>
      <c r="B492" s="346">
        <v>903</v>
      </c>
      <c r="C492" s="347" t="s">
        <v>259</v>
      </c>
      <c r="D492" s="347" t="s">
        <v>230</v>
      </c>
      <c r="E492" s="347" t="s">
        <v>982</v>
      </c>
      <c r="F492" s="347" t="s">
        <v>147</v>
      </c>
      <c r="G492" s="321">
        <f>G493</f>
        <v>183.7</v>
      </c>
      <c r="H492" s="321">
        <f t="shared" si="257"/>
        <v>183.69800000000001</v>
      </c>
      <c r="I492" s="321">
        <f t="shared" si="244"/>
        <v>99.998911268372353</v>
      </c>
    </row>
    <row r="493" spans="1:9" ht="31.5" x14ac:dyDescent="0.25">
      <c r="A493" s="349" t="s">
        <v>148</v>
      </c>
      <c r="B493" s="346">
        <v>903</v>
      </c>
      <c r="C493" s="347" t="s">
        <v>259</v>
      </c>
      <c r="D493" s="347" t="s">
        <v>230</v>
      </c>
      <c r="E493" s="347" t="s">
        <v>982</v>
      </c>
      <c r="F493" s="347" t="s">
        <v>149</v>
      </c>
      <c r="G493" s="321">
        <f>270-36.3+23.4-113.7+40.4-0.1</f>
        <v>183.7</v>
      </c>
      <c r="H493" s="321">
        <v>183.69800000000001</v>
      </c>
      <c r="I493" s="321">
        <f t="shared" si="244"/>
        <v>99.998911268372353</v>
      </c>
    </row>
    <row r="494" spans="1:9" s="211" customFormat="1" ht="15.75" hidden="1" x14ac:dyDescent="0.25">
      <c r="A494" s="349" t="s">
        <v>263</v>
      </c>
      <c r="B494" s="346">
        <v>903</v>
      </c>
      <c r="C494" s="347" t="s">
        <v>259</v>
      </c>
      <c r="D494" s="347" t="s">
        <v>230</v>
      </c>
      <c r="E494" s="347" t="s">
        <v>982</v>
      </c>
      <c r="F494" s="347" t="s">
        <v>264</v>
      </c>
      <c r="G494" s="321">
        <f>G495</f>
        <v>0</v>
      </c>
      <c r="H494" s="321">
        <f t="shared" ref="H494" si="258">H495</f>
        <v>0</v>
      </c>
      <c r="I494" s="321" t="e">
        <f t="shared" si="244"/>
        <v>#DIV/0!</v>
      </c>
    </row>
    <row r="495" spans="1:9" s="211" customFormat="1" ht="15.75" hidden="1" x14ac:dyDescent="0.25">
      <c r="A495" s="349" t="s">
        <v>363</v>
      </c>
      <c r="B495" s="346">
        <v>903</v>
      </c>
      <c r="C495" s="347" t="s">
        <v>259</v>
      </c>
      <c r="D495" s="347" t="s">
        <v>230</v>
      </c>
      <c r="E495" s="347" t="s">
        <v>982</v>
      </c>
      <c r="F495" s="347" t="s">
        <v>364</v>
      </c>
      <c r="G495" s="321">
        <f>210-57-153</f>
        <v>0</v>
      </c>
      <c r="H495" s="321">
        <f t="shared" ref="H495" si="259">210-57-153</f>
        <v>0</v>
      </c>
      <c r="I495" s="321" t="e">
        <f t="shared" si="244"/>
        <v>#DIV/0!</v>
      </c>
    </row>
    <row r="496" spans="1:9" ht="37.5" customHeight="1" x14ac:dyDescent="0.25">
      <c r="A496" s="318" t="s">
        <v>376</v>
      </c>
      <c r="B496" s="315">
        <v>903</v>
      </c>
      <c r="C496" s="319" t="s">
        <v>259</v>
      </c>
      <c r="D496" s="319" t="s">
        <v>230</v>
      </c>
      <c r="E496" s="319" t="s">
        <v>377</v>
      </c>
      <c r="F496" s="319"/>
      <c r="G496" s="317">
        <f>G497</f>
        <v>194</v>
      </c>
      <c r="H496" s="317">
        <f t="shared" ref="H496:H499" si="260">H497</f>
        <v>194</v>
      </c>
      <c r="I496" s="317">
        <f t="shared" si="244"/>
        <v>100</v>
      </c>
    </row>
    <row r="497" spans="1:9" s="211" customFormat="1" ht="38.25" customHeight="1" x14ac:dyDescent="0.25">
      <c r="A497" s="318" t="s">
        <v>1206</v>
      </c>
      <c r="B497" s="315">
        <v>903</v>
      </c>
      <c r="C497" s="319" t="s">
        <v>259</v>
      </c>
      <c r="D497" s="319" t="s">
        <v>230</v>
      </c>
      <c r="E497" s="319" t="s">
        <v>984</v>
      </c>
      <c r="F497" s="319"/>
      <c r="G497" s="317">
        <f>G498</f>
        <v>194</v>
      </c>
      <c r="H497" s="317">
        <f t="shared" si="260"/>
        <v>194</v>
      </c>
      <c r="I497" s="317">
        <f t="shared" si="244"/>
        <v>100</v>
      </c>
    </row>
    <row r="498" spans="1:9" ht="51.6" customHeight="1" x14ac:dyDescent="0.25">
      <c r="A498" s="349" t="s">
        <v>1205</v>
      </c>
      <c r="B498" s="346">
        <v>903</v>
      </c>
      <c r="C498" s="347" t="s">
        <v>259</v>
      </c>
      <c r="D498" s="347" t="s">
        <v>230</v>
      </c>
      <c r="E498" s="347" t="s">
        <v>983</v>
      </c>
      <c r="F498" s="347"/>
      <c r="G498" s="321">
        <f>G499</f>
        <v>194</v>
      </c>
      <c r="H498" s="321">
        <f t="shared" si="260"/>
        <v>194</v>
      </c>
      <c r="I498" s="321">
        <f t="shared" si="244"/>
        <v>100</v>
      </c>
    </row>
    <row r="499" spans="1:9" ht="15.75" x14ac:dyDescent="0.25">
      <c r="A499" s="349" t="s">
        <v>263</v>
      </c>
      <c r="B499" s="346">
        <v>903</v>
      </c>
      <c r="C499" s="347" t="s">
        <v>259</v>
      </c>
      <c r="D499" s="347" t="s">
        <v>230</v>
      </c>
      <c r="E499" s="347" t="s">
        <v>983</v>
      </c>
      <c r="F499" s="347" t="s">
        <v>264</v>
      </c>
      <c r="G499" s="321">
        <f>G500</f>
        <v>194</v>
      </c>
      <c r="H499" s="321">
        <f t="shared" si="260"/>
        <v>194</v>
      </c>
      <c r="I499" s="321">
        <f t="shared" si="244"/>
        <v>100</v>
      </c>
    </row>
    <row r="500" spans="1:9" ht="15.75" x14ac:dyDescent="0.25">
      <c r="A500" s="349" t="s">
        <v>363</v>
      </c>
      <c r="B500" s="346">
        <v>903</v>
      </c>
      <c r="C500" s="347" t="s">
        <v>259</v>
      </c>
      <c r="D500" s="347" t="s">
        <v>230</v>
      </c>
      <c r="E500" s="347" t="s">
        <v>983</v>
      </c>
      <c r="F500" s="347" t="s">
        <v>364</v>
      </c>
      <c r="G500" s="321">
        <f>250-56</f>
        <v>194</v>
      </c>
      <c r="H500" s="321">
        <v>194</v>
      </c>
      <c r="I500" s="321">
        <f t="shared" si="244"/>
        <v>100</v>
      </c>
    </row>
    <row r="501" spans="1:9" s="211" customFormat="1" ht="15.75" x14ac:dyDescent="0.25">
      <c r="A501" s="318" t="s">
        <v>597</v>
      </c>
      <c r="B501" s="315">
        <v>903</v>
      </c>
      <c r="C501" s="319" t="s">
        <v>253</v>
      </c>
      <c r="D501" s="347"/>
      <c r="E501" s="347"/>
      <c r="F501" s="347"/>
      <c r="G501" s="317">
        <f>G502</f>
        <v>6543.0999999999985</v>
      </c>
      <c r="H501" s="317">
        <f t="shared" ref="H501" si="261">H502</f>
        <v>6536.8035399999999</v>
      </c>
      <c r="I501" s="317">
        <f t="shared" si="244"/>
        <v>99.903769467072195</v>
      </c>
    </row>
    <row r="502" spans="1:9" s="211" customFormat="1" ht="15.75" x14ac:dyDescent="0.25">
      <c r="A502" s="318" t="s">
        <v>598</v>
      </c>
      <c r="B502" s="315">
        <v>903</v>
      </c>
      <c r="C502" s="319" t="s">
        <v>253</v>
      </c>
      <c r="D502" s="319" t="s">
        <v>228</v>
      </c>
      <c r="E502" s="319"/>
      <c r="F502" s="319"/>
      <c r="G502" s="317">
        <f>G503+G517</f>
        <v>6543.0999999999985</v>
      </c>
      <c r="H502" s="317">
        <f t="shared" ref="H502" si="262">H503+H517</f>
        <v>6536.8035399999999</v>
      </c>
      <c r="I502" s="317">
        <f t="shared" si="244"/>
        <v>99.903769467072195</v>
      </c>
    </row>
    <row r="503" spans="1:9" s="211" customFormat="1" ht="15.75" x14ac:dyDescent="0.25">
      <c r="A503" s="318" t="s">
        <v>156</v>
      </c>
      <c r="B503" s="315">
        <v>903</v>
      </c>
      <c r="C503" s="319" t="s">
        <v>253</v>
      </c>
      <c r="D503" s="319" t="s">
        <v>228</v>
      </c>
      <c r="E503" s="319" t="s">
        <v>910</v>
      </c>
      <c r="F503" s="319"/>
      <c r="G503" s="317">
        <f>G504</f>
        <v>6471.0999999999985</v>
      </c>
      <c r="H503" s="317">
        <f t="shared" ref="H503" si="263">H504</f>
        <v>6464.8035399999999</v>
      </c>
      <c r="I503" s="317">
        <f t="shared" si="244"/>
        <v>99.902698768370158</v>
      </c>
    </row>
    <row r="504" spans="1:9" s="211" customFormat="1" ht="15.75" x14ac:dyDescent="0.25">
      <c r="A504" s="318" t="s">
        <v>1088</v>
      </c>
      <c r="B504" s="315">
        <v>903</v>
      </c>
      <c r="C504" s="319" t="s">
        <v>253</v>
      </c>
      <c r="D504" s="319" t="s">
        <v>228</v>
      </c>
      <c r="E504" s="319" t="s">
        <v>1087</v>
      </c>
      <c r="F504" s="319"/>
      <c r="G504" s="317">
        <f>G505+G514</f>
        <v>6471.0999999999985</v>
      </c>
      <c r="H504" s="317">
        <f t="shared" ref="H504" si="264">H505+H514</f>
        <v>6464.8035399999999</v>
      </c>
      <c r="I504" s="317">
        <f t="shared" si="244"/>
        <v>99.902698768370158</v>
      </c>
    </row>
    <row r="505" spans="1:9" s="211" customFormat="1" ht="15.75" x14ac:dyDescent="0.25">
      <c r="A505" s="349" t="s">
        <v>832</v>
      </c>
      <c r="B505" s="346">
        <v>903</v>
      </c>
      <c r="C505" s="347" t="s">
        <v>253</v>
      </c>
      <c r="D505" s="347" t="s">
        <v>228</v>
      </c>
      <c r="E505" s="347" t="s">
        <v>1089</v>
      </c>
      <c r="F505" s="347"/>
      <c r="G505" s="321">
        <f>G506+G508+G512+G510</f>
        <v>6308.6999999999989</v>
      </c>
      <c r="H505" s="321">
        <f t="shared" ref="H505" si="265">H506+H508+H512+H510</f>
        <v>6302.50954</v>
      </c>
      <c r="I505" s="321">
        <f t="shared" si="244"/>
        <v>99.901874237164563</v>
      </c>
    </row>
    <row r="506" spans="1:9" s="211" customFormat="1" ht="78.75" x14ac:dyDescent="0.25">
      <c r="A506" s="349" t="s">
        <v>142</v>
      </c>
      <c r="B506" s="346">
        <v>903</v>
      </c>
      <c r="C506" s="347" t="s">
        <v>253</v>
      </c>
      <c r="D506" s="347" t="s">
        <v>228</v>
      </c>
      <c r="E506" s="347" t="s">
        <v>1089</v>
      </c>
      <c r="F506" s="347" t="s">
        <v>143</v>
      </c>
      <c r="G506" s="321">
        <f>G507</f>
        <v>4710.0999999999995</v>
      </c>
      <c r="H506" s="321">
        <f t="shared" ref="H506" si="266">H507</f>
        <v>4709.8735200000001</v>
      </c>
      <c r="I506" s="321">
        <f t="shared" si="244"/>
        <v>99.995191609519978</v>
      </c>
    </row>
    <row r="507" spans="1:9" s="211" customFormat="1" ht="15.75" x14ac:dyDescent="0.25">
      <c r="A507" s="349" t="s">
        <v>223</v>
      </c>
      <c r="B507" s="346">
        <v>903</v>
      </c>
      <c r="C507" s="347" t="s">
        <v>253</v>
      </c>
      <c r="D507" s="347" t="s">
        <v>228</v>
      </c>
      <c r="E507" s="347" t="s">
        <v>1089</v>
      </c>
      <c r="F507" s="347" t="s">
        <v>224</v>
      </c>
      <c r="G507" s="339">
        <f>5853-357.5-36+280.5-215-617.9-100+189.4-198.1-87.3-1</f>
        <v>4710.0999999999995</v>
      </c>
      <c r="H507" s="339">
        <v>4709.8735200000001</v>
      </c>
      <c r="I507" s="321">
        <f t="shared" si="244"/>
        <v>99.995191609519978</v>
      </c>
    </row>
    <row r="508" spans="1:9" s="211" customFormat="1" ht="31.5" x14ac:dyDescent="0.25">
      <c r="A508" s="349" t="s">
        <v>146</v>
      </c>
      <c r="B508" s="346">
        <v>903</v>
      </c>
      <c r="C508" s="347" t="s">
        <v>253</v>
      </c>
      <c r="D508" s="347" t="s">
        <v>228</v>
      </c>
      <c r="E508" s="347" t="s">
        <v>1089</v>
      </c>
      <c r="F508" s="347" t="s">
        <v>147</v>
      </c>
      <c r="G508" s="321">
        <f>G509</f>
        <v>958.59999999999991</v>
      </c>
      <c r="H508" s="321">
        <f t="shared" ref="H508" si="267">H509</f>
        <v>952.79438000000005</v>
      </c>
      <c r="I508" s="321">
        <f t="shared" si="244"/>
        <v>99.394364698518686</v>
      </c>
    </row>
    <row r="509" spans="1:9" s="211" customFormat="1" ht="31.5" x14ac:dyDescent="0.25">
      <c r="A509" s="349" t="s">
        <v>148</v>
      </c>
      <c r="B509" s="346">
        <v>903</v>
      </c>
      <c r="C509" s="347" t="s">
        <v>253</v>
      </c>
      <c r="D509" s="347" t="s">
        <v>228</v>
      </c>
      <c r="E509" s="347" t="s">
        <v>1089</v>
      </c>
      <c r="F509" s="347" t="s">
        <v>149</v>
      </c>
      <c r="G509" s="339">
        <f>1456-797+145+60+5+74.5+133-59-10+13-12.6+12.8+2-5.2-56-2-0.9</f>
        <v>958.59999999999991</v>
      </c>
      <c r="H509" s="339">
        <v>952.79438000000005</v>
      </c>
      <c r="I509" s="321">
        <f t="shared" si="244"/>
        <v>99.394364698518686</v>
      </c>
    </row>
    <row r="510" spans="1:9" s="310" customFormat="1" ht="15.75" x14ac:dyDescent="0.25">
      <c r="A510" s="349" t="s">
        <v>263</v>
      </c>
      <c r="B510" s="346">
        <v>903</v>
      </c>
      <c r="C510" s="347" t="s">
        <v>253</v>
      </c>
      <c r="D510" s="347" t="s">
        <v>228</v>
      </c>
      <c r="E510" s="347" t="s">
        <v>1089</v>
      </c>
      <c r="F510" s="347" t="s">
        <v>264</v>
      </c>
      <c r="G510" s="339">
        <f>G511</f>
        <v>617.9</v>
      </c>
      <c r="H510" s="339">
        <f t="shared" ref="H510" si="268">H511</f>
        <v>617.83824000000004</v>
      </c>
      <c r="I510" s="321">
        <f t="shared" si="244"/>
        <v>99.990004855154567</v>
      </c>
    </row>
    <row r="511" spans="1:9" s="310" customFormat="1" ht="31.5" x14ac:dyDescent="0.25">
      <c r="A511" s="349" t="s">
        <v>265</v>
      </c>
      <c r="B511" s="346">
        <v>903</v>
      </c>
      <c r="C511" s="347" t="s">
        <v>253</v>
      </c>
      <c r="D511" s="347" t="s">
        <v>228</v>
      </c>
      <c r="E511" s="347" t="s">
        <v>1089</v>
      </c>
      <c r="F511" s="347" t="s">
        <v>266</v>
      </c>
      <c r="G511" s="339">
        <v>617.9</v>
      </c>
      <c r="H511" s="339">
        <v>617.83824000000004</v>
      </c>
      <c r="I511" s="321">
        <f t="shared" si="244"/>
        <v>99.990004855154567</v>
      </c>
    </row>
    <row r="512" spans="1:9" s="211" customFormat="1" ht="15.75" x14ac:dyDescent="0.25">
      <c r="A512" s="349" t="s">
        <v>150</v>
      </c>
      <c r="B512" s="346">
        <v>903</v>
      </c>
      <c r="C512" s="347" t="s">
        <v>253</v>
      </c>
      <c r="D512" s="347" t="s">
        <v>228</v>
      </c>
      <c r="E512" s="347" t="s">
        <v>1089</v>
      </c>
      <c r="F512" s="347" t="s">
        <v>160</v>
      </c>
      <c r="G512" s="321">
        <f>G513</f>
        <v>22.1</v>
      </c>
      <c r="H512" s="321">
        <f t="shared" ref="H512" si="269">H513</f>
        <v>22.003399999999999</v>
      </c>
      <c r="I512" s="321">
        <f t="shared" si="244"/>
        <v>99.562895927601801</v>
      </c>
    </row>
    <row r="513" spans="1:9" s="211" customFormat="1" ht="15.75" x14ac:dyDescent="0.25">
      <c r="A513" s="349" t="s">
        <v>583</v>
      </c>
      <c r="B513" s="346">
        <v>903</v>
      </c>
      <c r="C513" s="347" t="s">
        <v>253</v>
      </c>
      <c r="D513" s="347" t="s">
        <v>228</v>
      </c>
      <c r="E513" s="347" t="s">
        <v>1089</v>
      </c>
      <c r="F513" s="347" t="s">
        <v>153</v>
      </c>
      <c r="G513" s="321">
        <f>50+0.1-19.5-8.5</f>
        <v>22.1</v>
      </c>
      <c r="H513" s="321">
        <v>22.003399999999999</v>
      </c>
      <c r="I513" s="321">
        <f t="shared" si="244"/>
        <v>99.562895927601801</v>
      </c>
    </row>
    <row r="514" spans="1:9" s="211" customFormat="1" ht="31.5" x14ac:dyDescent="0.25">
      <c r="A514" s="349" t="s">
        <v>883</v>
      </c>
      <c r="B514" s="346">
        <v>903</v>
      </c>
      <c r="C514" s="347" t="s">
        <v>253</v>
      </c>
      <c r="D514" s="347" t="s">
        <v>228</v>
      </c>
      <c r="E514" s="347" t="s">
        <v>1090</v>
      </c>
      <c r="F514" s="347"/>
      <c r="G514" s="321">
        <f>G515</f>
        <v>162.4</v>
      </c>
      <c r="H514" s="321">
        <f t="shared" ref="H514:H515" si="270">H515</f>
        <v>162.29400000000001</v>
      </c>
      <c r="I514" s="321">
        <f t="shared" si="244"/>
        <v>99.934729064039402</v>
      </c>
    </row>
    <row r="515" spans="1:9" s="211" customFormat="1" ht="78.75" x14ac:dyDescent="0.25">
      <c r="A515" s="349" t="s">
        <v>142</v>
      </c>
      <c r="B515" s="346">
        <v>903</v>
      </c>
      <c r="C515" s="347" t="s">
        <v>253</v>
      </c>
      <c r="D515" s="347" t="s">
        <v>228</v>
      </c>
      <c r="E515" s="347" t="s">
        <v>1090</v>
      </c>
      <c r="F515" s="347" t="s">
        <v>143</v>
      </c>
      <c r="G515" s="321">
        <f>G516</f>
        <v>162.4</v>
      </c>
      <c r="H515" s="321">
        <f t="shared" si="270"/>
        <v>162.29400000000001</v>
      </c>
      <c r="I515" s="321">
        <f t="shared" si="244"/>
        <v>99.934729064039402</v>
      </c>
    </row>
    <row r="516" spans="1:9" s="211" customFormat="1" ht="15.75" x14ac:dyDescent="0.25">
      <c r="A516" s="349" t="s">
        <v>223</v>
      </c>
      <c r="B516" s="346">
        <v>903</v>
      </c>
      <c r="C516" s="347" t="s">
        <v>253</v>
      </c>
      <c r="D516" s="347" t="s">
        <v>228</v>
      </c>
      <c r="E516" s="347" t="s">
        <v>1090</v>
      </c>
      <c r="F516" s="347" t="s">
        <v>224</v>
      </c>
      <c r="G516" s="321">
        <f>210-43-4.6</f>
        <v>162.4</v>
      </c>
      <c r="H516" s="321">
        <v>162.29400000000001</v>
      </c>
      <c r="I516" s="321">
        <f t="shared" si="244"/>
        <v>99.934729064039402</v>
      </c>
    </row>
    <row r="517" spans="1:9" s="211" customFormat="1" ht="47.25" x14ac:dyDescent="0.25">
      <c r="A517" s="41" t="s">
        <v>1177</v>
      </c>
      <c r="B517" s="315">
        <v>903</v>
      </c>
      <c r="C517" s="319" t="s">
        <v>253</v>
      </c>
      <c r="D517" s="319" t="s">
        <v>228</v>
      </c>
      <c r="E517" s="319" t="s">
        <v>726</v>
      </c>
      <c r="F517" s="228"/>
      <c r="G517" s="317">
        <f>G519</f>
        <v>72</v>
      </c>
      <c r="H517" s="317">
        <f t="shared" ref="H517" si="271">H519</f>
        <v>72</v>
      </c>
      <c r="I517" s="317">
        <f t="shared" si="244"/>
        <v>100</v>
      </c>
    </row>
    <row r="518" spans="1:9" s="211" customFormat="1" ht="47.25" x14ac:dyDescent="0.25">
      <c r="A518" s="41" t="s">
        <v>947</v>
      </c>
      <c r="B518" s="315">
        <v>903</v>
      </c>
      <c r="C518" s="319" t="s">
        <v>253</v>
      </c>
      <c r="D518" s="319" t="s">
        <v>228</v>
      </c>
      <c r="E518" s="319" t="s">
        <v>945</v>
      </c>
      <c r="F518" s="228"/>
      <c r="G518" s="317">
        <f>G519</f>
        <v>72</v>
      </c>
      <c r="H518" s="317">
        <f t="shared" ref="H518:H520" si="272">H519</f>
        <v>72</v>
      </c>
      <c r="I518" s="317">
        <f t="shared" si="244"/>
        <v>100</v>
      </c>
    </row>
    <row r="519" spans="1:9" s="211" customFormat="1" ht="31.5" x14ac:dyDescent="0.25">
      <c r="A519" s="99" t="s">
        <v>1155</v>
      </c>
      <c r="B519" s="346">
        <v>903</v>
      </c>
      <c r="C519" s="347" t="s">
        <v>253</v>
      </c>
      <c r="D519" s="347" t="s">
        <v>228</v>
      </c>
      <c r="E519" s="347" t="s">
        <v>946</v>
      </c>
      <c r="F519" s="32"/>
      <c r="G519" s="321">
        <f>G520</f>
        <v>72</v>
      </c>
      <c r="H519" s="321">
        <f t="shared" si="272"/>
        <v>72</v>
      </c>
      <c r="I519" s="321">
        <f t="shared" si="244"/>
        <v>100</v>
      </c>
    </row>
    <row r="520" spans="1:9" s="211" customFormat="1" ht="31.5" x14ac:dyDescent="0.25">
      <c r="A520" s="349" t="s">
        <v>146</v>
      </c>
      <c r="B520" s="346">
        <v>903</v>
      </c>
      <c r="C520" s="347" t="s">
        <v>253</v>
      </c>
      <c r="D520" s="347" t="s">
        <v>228</v>
      </c>
      <c r="E520" s="347" t="s">
        <v>946</v>
      </c>
      <c r="F520" s="32" t="s">
        <v>147</v>
      </c>
      <c r="G520" s="321">
        <f>G521</f>
        <v>72</v>
      </c>
      <c r="H520" s="321">
        <f t="shared" si="272"/>
        <v>72</v>
      </c>
      <c r="I520" s="321">
        <f t="shared" si="244"/>
        <v>100</v>
      </c>
    </row>
    <row r="521" spans="1:9" s="211" customFormat="1" ht="31.5" x14ac:dyDescent="0.25">
      <c r="A521" s="349" t="s">
        <v>148</v>
      </c>
      <c r="B521" s="346">
        <v>903</v>
      </c>
      <c r="C521" s="347" t="s">
        <v>253</v>
      </c>
      <c r="D521" s="347" t="s">
        <v>228</v>
      </c>
      <c r="E521" s="347" t="s">
        <v>946</v>
      </c>
      <c r="F521" s="32" t="s">
        <v>149</v>
      </c>
      <c r="G521" s="321">
        <f>60+12</f>
        <v>72</v>
      </c>
      <c r="H521" s="321">
        <v>72</v>
      </c>
      <c r="I521" s="321">
        <f t="shared" ref="I521:I584" si="273">H521/G521*100</f>
        <v>100</v>
      </c>
    </row>
    <row r="522" spans="1:9" ht="31.5" x14ac:dyDescent="0.25">
      <c r="A522" s="315" t="s">
        <v>402</v>
      </c>
      <c r="B522" s="315">
        <v>905</v>
      </c>
      <c r="C522" s="347"/>
      <c r="D522" s="347"/>
      <c r="E522" s="347"/>
      <c r="F522" s="347"/>
      <c r="G522" s="317">
        <f>G523+G558+G568</f>
        <v>18196.505399999998</v>
      </c>
      <c r="H522" s="317">
        <f t="shared" ref="H522" si="274">H523+H558+H568</f>
        <v>17960.322120000001</v>
      </c>
      <c r="I522" s="317">
        <f t="shared" si="273"/>
        <v>98.702040447832374</v>
      </c>
    </row>
    <row r="523" spans="1:9" ht="15.75" x14ac:dyDescent="0.25">
      <c r="A523" s="318" t="s">
        <v>132</v>
      </c>
      <c r="B523" s="315">
        <v>905</v>
      </c>
      <c r="C523" s="319" t="s">
        <v>133</v>
      </c>
      <c r="D523" s="347"/>
      <c r="E523" s="347"/>
      <c r="F523" s="347"/>
      <c r="G523" s="317">
        <f>G524+G544</f>
        <v>17324.915399999998</v>
      </c>
      <c r="H523" s="317">
        <f t="shared" ref="H523" si="275">H524+H544</f>
        <v>17144.414550000001</v>
      </c>
      <c r="I523" s="317">
        <f t="shared" si="273"/>
        <v>98.958142964438395</v>
      </c>
    </row>
    <row r="524" spans="1:9" ht="65.25" customHeight="1" x14ac:dyDescent="0.25">
      <c r="A524" s="318" t="s">
        <v>164</v>
      </c>
      <c r="B524" s="315">
        <v>905</v>
      </c>
      <c r="C524" s="319" t="s">
        <v>133</v>
      </c>
      <c r="D524" s="319" t="s">
        <v>165</v>
      </c>
      <c r="E524" s="319"/>
      <c r="F524" s="319"/>
      <c r="G524" s="317">
        <f>G525</f>
        <v>11899.115399999999</v>
      </c>
      <c r="H524" s="317">
        <f t="shared" ref="H524" si="276">H525</f>
        <v>11854.02145</v>
      </c>
      <c r="I524" s="317">
        <f t="shared" si="273"/>
        <v>99.621031072612354</v>
      </c>
    </row>
    <row r="525" spans="1:9" ht="31.5" x14ac:dyDescent="0.25">
      <c r="A525" s="318" t="s">
        <v>988</v>
      </c>
      <c r="B525" s="315">
        <v>905</v>
      </c>
      <c r="C525" s="319" t="s">
        <v>133</v>
      </c>
      <c r="D525" s="319" t="s">
        <v>165</v>
      </c>
      <c r="E525" s="319" t="s">
        <v>902</v>
      </c>
      <c r="F525" s="319"/>
      <c r="G525" s="317">
        <f>G526+G540</f>
        <v>11899.115399999999</v>
      </c>
      <c r="H525" s="317">
        <f t="shared" ref="H525" si="277">H526+H540</f>
        <v>11854.02145</v>
      </c>
      <c r="I525" s="317">
        <f t="shared" si="273"/>
        <v>99.621031072612354</v>
      </c>
    </row>
    <row r="526" spans="1:9" ht="15.75" x14ac:dyDescent="0.25">
      <c r="A526" s="318" t="s">
        <v>989</v>
      </c>
      <c r="B526" s="315">
        <v>905</v>
      </c>
      <c r="C526" s="319" t="s">
        <v>133</v>
      </c>
      <c r="D526" s="319" t="s">
        <v>165</v>
      </c>
      <c r="E526" s="319" t="s">
        <v>903</v>
      </c>
      <c r="F526" s="319"/>
      <c r="G526" s="317">
        <f>G527+G534+G537</f>
        <v>11877.115399999999</v>
      </c>
      <c r="H526" s="317">
        <f t="shared" ref="H526" si="278">H527+H534+H537</f>
        <v>11854.02145</v>
      </c>
      <c r="I526" s="317">
        <f t="shared" si="273"/>
        <v>99.8055592690461</v>
      </c>
    </row>
    <row r="527" spans="1:9" ht="31.5" x14ac:dyDescent="0.25">
      <c r="A527" s="349" t="s">
        <v>965</v>
      </c>
      <c r="B527" s="346">
        <v>905</v>
      </c>
      <c r="C527" s="347" t="s">
        <v>133</v>
      </c>
      <c r="D527" s="347" t="s">
        <v>165</v>
      </c>
      <c r="E527" s="347" t="s">
        <v>904</v>
      </c>
      <c r="F527" s="347"/>
      <c r="G527" s="321">
        <f>G528+G530+G532</f>
        <v>11706.389999999998</v>
      </c>
      <c r="H527" s="321">
        <f t="shared" ref="H527" si="279">H528+H530+H532</f>
        <v>11683.326849999999</v>
      </c>
      <c r="I527" s="321">
        <f t="shared" si="273"/>
        <v>99.802986659422771</v>
      </c>
    </row>
    <row r="528" spans="1:9" ht="78.75" x14ac:dyDescent="0.25">
      <c r="A528" s="349" t="s">
        <v>142</v>
      </c>
      <c r="B528" s="346">
        <v>905</v>
      </c>
      <c r="C528" s="347" t="s">
        <v>133</v>
      </c>
      <c r="D528" s="347" t="s">
        <v>165</v>
      </c>
      <c r="E528" s="347" t="s">
        <v>904</v>
      </c>
      <c r="F528" s="347" t="s">
        <v>143</v>
      </c>
      <c r="G528" s="321">
        <f>G529</f>
        <v>11147.379999999997</v>
      </c>
      <c r="H528" s="321">
        <f t="shared" ref="H528" si="280">H529</f>
        <v>11135.412</v>
      </c>
      <c r="I528" s="321">
        <f t="shared" si="273"/>
        <v>99.892638449572928</v>
      </c>
    </row>
    <row r="529" spans="1:9" ht="31.5" x14ac:dyDescent="0.25">
      <c r="A529" s="349" t="s">
        <v>144</v>
      </c>
      <c r="B529" s="346">
        <v>905</v>
      </c>
      <c r="C529" s="347" t="s">
        <v>133</v>
      </c>
      <c r="D529" s="347" t="s">
        <v>165</v>
      </c>
      <c r="E529" s="347" t="s">
        <v>904</v>
      </c>
      <c r="F529" s="347" t="s">
        <v>145</v>
      </c>
      <c r="G529" s="339">
        <f>10033+510+16.4-2.7-13.7+480+79.58+44.8</f>
        <v>11147.379999999997</v>
      </c>
      <c r="H529" s="339">
        <v>11135.412</v>
      </c>
      <c r="I529" s="321">
        <f t="shared" si="273"/>
        <v>99.892638449572928</v>
      </c>
    </row>
    <row r="530" spans="1:9" ht="31.5" x14ac:dyDescent="0.25">
      <c r="A530" s="349" t="s">
        <v>146</v>
      </c>
      <c r="B530" s="346">
        <v>905</v>
      </c>
      <c r="C530" s="347" t="s">
        <v>133</v>
      </c>
      <c r="D530" s="347" t="s">
        <v>165</v>
      </c>
      <c r="E530" s="347" t="s">
        <v>904</v>
      </c>
      <c r="F530" s="347" t="s">
        <v>147</v>
      </c>
      <c r="G530" s="321">
        <f>G531</f>
        <v>428.01000000000005</v>
      </c>
      <c r="H530" s="321">
        <f>H531</f>
        <v>416.91485</v>
      </c>
      <c r="I530" s="321">
        <f t="shared" si="273"/>
        <v>97.407735800565405</v>
      </c>
    </row>
    <row r="531" spans="1:9" ht="31.5" x14ac:dyDescent="0.25">
      <c r="A531" s="349" t="s">
        <v>148</v>
      </c>
      <c r="B531" s="346">
        <v>905</v>
      </c>
      <c r="C531" s="347" t="s">
        <v>133</v>
      </c>
      <c r="D531" s="347" t="s">
        <v>165</v>
      </c>
      <c r="E531" s="347" t="s">
        <v>904</v>
      </c>
      <c r="F531" s="347" t="s">
        <v>149</v>
      </c>
      <c r="G531" s="339">
        <f>440+30-27.7-6.9-7.39</f>
        <v>428.01000000000005</v>
      </c>
      <c r="H531" s="339">
        <v>416.91485</v>
      </c>
      <c r="I531" s="321">
        <f t="shared" si="273"/>
        <v>97.407735800565405</v>
      </c>
    </row>
    <row r="532" spans="1:9" ht="15.75" x14ac:dyDescent="0.25">
      <c r="A532" s="349" t="s">
        <v>150</v>
      </c>
      <c r="B532" s="346">
        <v>905</v>
      </c>
      <c r="C532" s="347" t="s">
        <v>133</v>
      </c>
      <c r="D532" s="347" t="s">
        <v>165</v>
      </c>
      <c r="E532" s="347" t="s">
        <v>904</v>
      </c>
      <c r="F532" s="347" t="s">
        <v>160</v>
      </c>
      <c r="G532" s="321">
        <f>G533</f>
        <v>131</v>
      </c>
      <c r="H532" s="321">
        <f t="shared" ref="H532" si="281">H533</f>
        <v>131</v>
      </c>
      <c r="I532" s="321">
        <f t="shared" si="273"/>
        <v>100</v>
      </c>
    </row>
    <row r="533" spans="1:9" ht="15.75" x14ac:dyDescent="0.25">
      <c r="A533" s="349" t="s">
        <v>583</v>
      </c>
      <c r="B533" s="346">
        <v>905</v>
      </c>
      <c r="C533" s="347" t="s">
        <v>133</v>
      </c>
      <c r="D533" s="347" t="s">
        <v>165</v>
      </c>
      <c r="E533" s="347" t="s">
        <v>904</v>
      </c>
      <c r="F533" s="347" t="s">
        <v>153</v>
      </c>
      <c r="G533" s="321">
        <f>8.8+7.5+20+30+65-0.3</f>
        <v>131</v>
      </c>
      <c r="H533" s="321">
        <v>131</v>
      </c>
      <c r="I533" s="321">
        <f t="shared" si="273"/>
        <v>100</v>
      </c>
    </row>
    <row r="534" spans="1:9" s="211" customFormat="1" ht="31.5" x14ac:dyDescent="0.25">
      <c r="A534" s="349" t="s">
        <v>883</v>
      </c>
      <c r="B534" s="346">
        <v>905</v>
      </c>
      <c r="C534" s="347" t="s">
        <v>133</v>
      </c>
      <c r="D534" s="347" t="s">
        <v>165</v>
      </c>
      <c r="E534" s="347" t="s">
        <v>906</v>
      </c>
      <c r="F534" s="347"/>
      <c r="G534" s="321">
        <f>G535</f>
        <v>92.699999999999989</v>
      </c>
      <c r="H534" s="321">
        <f t="shared" ref="H534:H535" si="282">H535</f>
        <v>92.669200000000004</v>
      </c>
      <c r="I534" s="321">
        <f t="shared" si="273"/>
        <v>99.966774541531848</v>
      </c>
    </row>
    <row r="535" spans="1:9" s="211" customFormat="1" ht="78.75" x14ac:dyDescent="0.25">
      <c r="A535" s="349" t="s">
        <v>142</v>
      </c>
      <c r="B535" s="346">
        <v>905</v>
      </c>
      <c r="C535" s="347" t="s">
        <v>133</v>
      </c>
      <c r="D535" s="347" t="s">
        <v>165</v>
      </c>
      <c r="E535" s="347" t="s">
        <v>906</v>
      </c>
      <c r="F535" s="347" t="s">
        <v>143</v>
      </c>
      <c r="G535" s="321">
        <f>G536</f>
        <v>92.699999999999989</v>
      </c>
      <c r="H535" s="321">
        <f t="shared" si="282"/>
        <v>92.669200000000004</v>
      </c>
      <c r="I535" s="321">
        <f t="shared" si="273"/>
        <v>99.966774541531848</v>
      </c>
    </row>
    <row r="536" spans="1:9" s="211" customFormat="1" ht="31.5" x14ac:dyDescent="0.25">
      <c r="A536" s="349" t="s">
        <v>144</v>
      </c>
      <c r="B536" s="346">
        <v>905</v>
      </c>
      <c r="C536" s="347" t="s">
        <v>133</v>
      </c>
      <c r="D536" s="347" t="s">
        <v>165</v>
      </c>
      <c r="E536" s="347" t="s">
        <v>906</v>
      </c>
      <c r="F536" s="347" t="s">
        <v>145</v>
      </c>
      <c r="G536" s="321">
        <f>336-243.3</f>
        <v>92.699999999999989</v>
      </c>
      <c r="H536" s="321">
        <v>92.669200000000004</v>
      </c>
      <c r="I536" s="321">
        <f t="shared" si="273"/>
        <v>99.966774541531848</v>
      </c>
    </row>
    <row r="537" spans="1:9" s="310" customFormat="1" ht="31.5" x14ac:dyDescent="0.25">
      <c r="A537" s="349" t="s">
        <v>1582</v>
      </c>
      <c r="B537" s="346">
        <v>905</v>
      </c>
      <c r="C537" s="347" t="s">
        <v>133</v>
      </c>
      <c r="D537" s="347" t="s">
        <v>165</v>
      </c>
      <c r="E537" s="347" t="s">
        <v>1584</v>
      </c>
      <c r="F537" s="347"/>
      <c r="G537" s="321">
        <f>G538</f>
        <v>78.025400000000005</v>
      </c>
      <c r="H537" s="321">
        <f t="shared" ref="H537:H538" si="283">H538</f>
        <v>78.025400000000005</v>
      </c>
      <c r="I537" s="321">
        <f t="shared" si="273"/>
        <v>100</v>
      </c>
    </row>
    <row r="538" spans="1:9" s="310" customFormat="1" ht="78.75" x14ac:dyDescent="0.25">
      <c r="A538" s="349" t="s">
        <v>142</v>
      </c>
      <c r="B538" s="346">
        <v>905</v>
      </c>
      <c r="C538" s="347" t="s">
        <v>133</v>
      </c>
      <c r="D538" s="347" t="s">
        <v>165</v>
      </c>
      <c r="E538" s="347" t="s">
        <v>1584</v>
      </c>
      <c r="F538" s="347" t="s">
        <v>143</v>
      </c>
      <c r="G538" s="321">
        <f>G539</f>
        <v>78.025400000000005</v>
      </c>
      <c r="H538" s="321">
        <f t="shared" si="283"/>
        <v>78.025400000000005</v>
      </c>
      <c r="I538" s="321">
        <f t="shared" si="273"/>
        <v>100</v>
      </c>
    </row>
    <row r="539" spans="1:9" s="310" customFormat="1" ht="31.5" x14ac:dyDescent="0.25">
      <c r="A539" s="349" t="s">
        <v>144</v>
      </c>
      <c r="B539" s="346">
        <v>905</v>
      </c>
      <c r="C539" s="347" t="s">
        <v>133</v>
      </c>
      <c r="D539" s="347" t="s">
        <v>165</v>
      </c>
      <c r="E539" s="347" t="s">
        <v>1584</v>
      </c>
      <c r="F539" s="347" t="s">
        <v>145</v>
      </c>
      <c r="G539" s="321">
        <f>78.0254</f>
        <v>78.025400000000005</v>
      </c>
      <c r="H539" s="321">
        <v>78.025400000000005</v>
      </c>
      <c r="I539" s="321">
        <f t="shared" si="273"/>
        <v>100</v>
      </c>
    </row>
    <row r="540" spans="1:9" s="211" customFormat="1" ht="31.5" x14ac:dyDescent="0.25">
      <c r="A540" s="318" t="s">
        <v>930</v>
      </c>
      <c r="B540" s="315">
        <v>905</v>
      </c>
      <c r="C540" s="319" t="s">
        <v>133</v>
      </c>
      <c r="D540" s="319" t="s">
        <v>165</v>
      </c>
      <c r="E540" s="319" t="s">
        <v>907</v>
      </c>
      <c r="F540" s="319"/>
      <c r="G540" s="317">
        <f>G541</f>
        <v>22</v>
      </c>
      <c r="H540" s="317">
        <f t="shared" ref="H540:H542" si="284">H541</f>
        <v>0</v>
      </c>
      <c r="I540" s="317">
        <f t="shared" si="273"/>
        <v>0</v>
      </c>
    </row>
    <row r="541" spans="1:9" s="211" customFormat="1" ht="78.75" x14ac:dyDescent="0.25">
      <c r="A541" s="31" t="s">
        <v>1401</v>
      </c>
      <c r="B541" s="346">
        <v>905</v>
      </c>
      <c r="C541" s="347" t="s">
        <v>133</v>
      </c>
      <c r="D541" s="347" t="s">
        <v>165</v>
      </c>
      <c r="E541" s="347" t="s">
        <v>1400</v>
      </c>
      <c r="F541" s="347"/>
      <c r="G541" s="321">
        <f>G542</f>
        <v>22</v>
      </c>
      <c r="H541" s="321">
        <f t="shared" si="284"/>
        <v>0</v>
      </c>
      <c r="I541" s="321">
        <f t="shared" si="273"/>
        <v>0</v>
      </c>
    </row>
    <row r="542" spans="1:9" s="211" customFormat="1" ht="78.75" x14ac:dyDescent="0.25">
      <c r="A542" s="349" t="s">
        <v>142</v>
      </c>
      <c r="B542" s="346">
        <v>905</v>
      </c>
      <c r="C542" s="347" t="s">
        <v>133</v>
      </c>
      <c r="D542" s="347" t="s">
        <v>165</v>
      </c>
      <c r="E542" s="347" t="s">
        <v>1400</v>
      </c>
      <c r="F542" s="347" t="s">
        <v>143</v>
      </c>
      <c r="G542" s="321">
        <f>G543</f>
        <v>22</v>
      </c>
      <c r="H542" s="321">
        <f t="shared" si="284"/>
        <v>0</v>
      </c>
      <c r="I542" s="321">
        <f t="shared" si="273"/>
        <v>0</v>
      </c>
    </row>
    <row r="543" spans="1:9" s="211" customFormat="1" ht="31.5" x14ac:dyDescent="0.25">
      <c r="A543" s="349" t="s">
        <v>144</v>
      </c>
      <c r="B543" s="346">
        <v>905</v>
      </c>
      <c r="C543" s="347" t="s">
        <v>133</v>
      </c>
      <c r="D543" s="347" t="s">
        <v>165</v>
      </c>
      <c r="E543" s="347" t="s">
        <v>1400</v>
      </c>
      <c r="F543" s="347" t="s">
        <v>145</v>
      </c>
      <c r="G543" s="321">
        <v>22</v>
      </c>
      <c r="H543" s="321">
        <v>0</v>
      </c>
      <c r="I543" s="321">
        <f t="shared" si="273"/>
        <v>0</v>
      </c>
    </row>
    <row r="544" spans="1:9" ht="15.75" x14ac:dyDescent="0.25">
      <c r="A544" s="318" t="s">
        <v>154</v>
      </c>
      <c r="B544" s="315">
        <v>905</v>
      </c>
      <c r="C544" s="319" t="s">
        <v>133</v>
      </c>
      <c r="D544" s="319" t="s">
        <v>155</v>
      </c>
      <c r="E544" s="319"/>
      <c r="F544" s="319"/>
      <c r="G544" s="317">
        <f>G545+G553</f>
        <v>5425.7999999999993</v>
      </c>
      <c r="H544" s="317">
        <f t="shared" ref="H544" si="285">H545+H553</f>
        <v>5290.3931000000002</v>
      </c>
      <c r="I544" s="317">
        <f t="shared" si="273"/>
        <v>97.504388292970631</v>
      </c>
    </row>
    <row r="545" spans="1:9" s="211" customFormat="1" ht="15.75" x14ac:dyDescent="0.25">
      <c r="A545" s="318" t="s">
        <v>156</v>
      </c>
      <c r="B545" s="315">
        <v>905</v>
      </c>
      <c r="C545" s="319" t="s">
        <v>133</v>
      </c>
      <c r="D545" s="319" t="s">
        <v>155</v>
      </c>
      <c r="E545" s="319" t="s">
        <v>910</v>
      </c>
      <c r="F545" s="319"/>
      <c r="G545" s="317">
        <f>G546</f>
        <v>5425.7999999999993</v>
      </c>
      <c r="H545" s="317">
        <f t="shared" ref="H545" si="286">H546</f>
        <v>5290.3931000000002</v>
      </c>
      <c r="I545" s="317">
        <f t="shared" si="273"/>
        <v>97.504388292970631</v>
      </c>
    </row>
    <row r="546" spans="1:9" s="211" customFormat="1" ht="31.5" x14ac:dyDescent="0.25">
      <c r="A546" s="318" t="s">
        <v>914</v>
      </c>
      <c r="B546" s="315">
        <v>905</v>
      </c>
      <c r="C546" s="319" t="s">
        <v>133</v>
      </c>
      <c r="D546" s="319" t="s">
        <v>155</v>
      </c>
      <c r="E546" s="319" t="s">
        <v>909</v>
      </c>
      <c r="F546" s="319"/>
      <c r="G546" s="317">
        <f>G547+G550</f>
        <v>5425.7999999999993</v>
      </c>
      <c r="H546" s="317">
        <f t="shared" ref="H546" si="287">H547+H550</f>
        <v>5290.3931000000002</v>
      </c>
      <c r="I546" s="317">
        <f t="shared" si="273"/>
        <v>97.504388292970631</v>
      </c>
    </row>
    <row r="547" spans="1:9" s="211" customFormat="1" ht="47.25" x14ac:dyDescent="0.25">
      <c r="A547" s="349" t="s">
        <v>403</v>
      </c>
      <c r="B547" s="346">
        <v>905</v>
      </c>
      <c r="C547" s="347" t="s">
        <v>133</v>
      </c>
      <c r="D547" s="347" t="s">
        <v>155</v>
      </c>
      <c r="E547" s="347" t="s">
        <v>1167</v>
      </c>
      <c r="F547" s="347"/>
      <c r="G547" s="321">
        <f>G548</f>
        <v>5425.7999999999993</v>
      </c>
      <c r="H547" s="321">
        <f t="shared" ref="H547:H548" si="288">H548</f>
        <v>5290.3931000000002</v>
      </c>
      <c r="I547" s="321">
        <f t="shared" si="273"/>
        <v>97.504388292970631</v>
      </c>
    </row>
    <row r="548" spans="1:9" s="211" customFormat="1" ht="31.5" x14ac:dyDescent="0.25">
      <c r="A548" s="349" t="s">
        <v>146</v>
      </c>
      <c r="B548" s="346">
        <v>905</v>
      </c>
      <c r="C548" s="347" t="s">
        <v>133</v>
      </c>
      <c r="D548" s="347" t="s">
        <v>155</v>
      </c>
      <c r="E548" s="347" t="s">
        <v>1167</v>
      </c>
      <c r="F548" s="347" t="s">
        <v>147</v>
      </c>
      <c r="G548" s="321">
        <f>G549</f>
        <v>5425.7999999999993</v>
      </c>
      <c r="H548" s="321">
        <f t="shared" si="288"/>
        <v>5290.3931000000002</v>
      </c>
      <c r="I548" s="321">
        <f t="shared" si="273"/>
        <v>97.504388292970631</v>
      </c>
    </row>
    <row r="549" spans="1:9" s="211" customFormat="1" ht="31.5" x14ac:dyDescent="0.25">
      <c r="A549" s="349" t="s">
        <v>148</v>
      </c>
      <c r="B549" s="346">
        <v>905</v>
      </c>
      <c r="C549" s="347" t="s">
        <v>133</v>
      </c>
      <c r="D549" s="347" t="s">
        <v>155</v>
      </c>
      <c r="E549" s="347" t="s">
        <v>1167</v>
      </c>
      <c r="F549" s="347" t="s">
        <v>149</v>
      </c>
      <c r="G549" s="321">
        <f>2900+140+953.1+1064.3+441.9-73.5</f>
        <v>5425.7999999999993</v>
      </c>
      <c r="H549" s="321">
        <v>5290.3931000000002</v>
      </c>
      <c r="I549" s="321">
        <f t="shared" si="273"/>
        <v>97.504388292970631</v>
      </c>
    </row>
    <row r="550" spans="1:9" s="211" customFormat="1" ht="31.5" hidden="1" x14ac:dyDescent="0.25">
      <c r="A550" s="349" t="s">
        <v>1002</v>
      </c>
      <c r="B550" s="346">
        <v>905</v>
      </c>
      <c r="C550" s="347" t="s">
        <v>133</v>
      </c>
      <c r="D550" s="347" t="s">
        <v>155</v>
      </c>
      <c r="E550" s="347" t="s">
        <v>1168</v>
      </c>
      <c r="F550" s="347"/>
      <c r="G550" s="321">
        <f>G551</f>
        <v>0</v>
      </c>
      <c r="H550" s="321">
        <f t="shared" ref="H550:H551" si="289">H551</f>
        <v>0</v>
      </c>
      <c r="I550" s="321" t="e">
        <f t="shared" si="273"/>
        <v>#DIV/0!</v>
      </c>
    </row>
    <row r="551" spans="1:9" s="211" customFormat="1" ht="31.5" hidden="1" x14ac:dyDescent="0.25">
      <c r="A551" s="349" t="s">
        <v>146</v>
      </c>
      <c r="B551" s="346">
        <v>905</v>
      </c>
      <c r="C551" s="347" t="s">
        <v>133</v>
      </c>
      <c r="D551" s="347" t="s">
        <v>155</v>
      </c>
      <c r="E551" s="347" t="s">
        <v>1168</v>
      </c>
      <c r="F551" s="347" t="s">
        <v>147</v>
      </c>
      <c r="G551" s="321">
        <f>G552</f>
        <v>0</v>
      </c>
      <c r="H551" s="321">
        <f t="shared" si="289"/>
        <v>0</v>
      </c>
      <c r="I551" s="321" t="e">
        <f t="shared" si="273"/>
        <v>#DIV/0!</v>
      </c>
    </row>
    <row r="552" spans="1:9" s="211" customFormat="1" ht="31.5" hidden="1" x14ac:dyDescent="0.25">
      <c r="A552" s="349" t="s">
        <v>148</v>
      </c>
      <c r="B552" s="346">
        <v>905</v>
      </c>
      <c r="C552" s="347" t="s">
        <v>133</v>
      </c>
      <c r="D552" s="347" t="s">
        <v>155</v>
      </c>
      <c r="E552" s="347" t="s">
        <v>1168</v>
      </c>
      <c r="F552" s="347" t="s">
        <v>149</v>
      </c>
      <c r="G552" s="321">
        <f>100-100</f>
        <v>0</v>
      </c>
      <c r="H552" s="321">
        <f t="shared" ref="H552" si="290">100-100</f>
        <v>0</v>
      </c>
      <c r="I552" s="321" t="e">
        <f t="shared" si="273"/>
        <v>#DIV/0!</v>
      </c>
    </row>
    <row r="553" spans="1:9" s="112" customFormat="1" ht="69" hidden="1" customHeight="1" x14ac:dyDescent="0.25">
      <c r="A553" s="318" t="s">
        <v>1179</v>
      </c>
      <c r="B553" s="315">
        <v>905</v>
      </c>
      <c r="C553" s="319" t="s">
        <v>133</v>
      </c>
      <c r="D553" s="319" t="s">
        <v>155</v>
      </c>
      <c r="E553" s="319" t="s">
        <v>804</v>
      </c>
      <c r="F553" s="319"/>
      <c r="G553" s="317">
        <f>G554</f>
        <v>0</v>
      </c>
      <c r="H553" s="317">
        <f t="shared" ref="H553:H556" si="291">H554</f>
        <v>0</v>
      </c>
      <c r="I553" s="321" t="e">
        <f t="shared" si="273"/>
        <v>#DIV/0!</v>
      </c>
    </row>
    <row r="554" spans="1:9" s="213" customFormat="1" ht="29.25" hidden="1" customHeight="1" x14ac:dyDescent="0.25">
      <c r="A554" s="318" t="s">
        <v>1001</v>
      </c>
      <c r="B554" s="315">
        <v>905</v>
      </c>
      <c r="C554" s="319" t="s">
        <v>133</v>
      </c>
      <c r="D554" s="319" t="s">
        <v>155</v>
      </c>
      <c r="E554" s="319" t="s">
        <v>1180</v>
      </c>
      <c r="F554" s="319"/>
      <c r="G554" s="317">
        <f>G555</f>
        <v>0</v>
      </c>
      <c r="H554" s="317">
        <f t="shared" si="291"/>
        <v>0</v>
      </c>
      <c r="I554" s="321" t="e">
        <f t="shared" si="273"/>
        <v>#DIV/0!</v>
      </c>
    </row>
    <row r="555" spans="1:9" s="112" customFormat="1" ht="31.7" hidden="1" customHeight="1" x14ac:dyDescent="0.25">
      <c r="A555" s="349" t="s">
        <v>814</v>
      </c>
      <c r="B555" s="346">
        <v>905</v>
      </c>
      <c r="C555" s="347" t="s">
        <v>133</v>
      </c>
      <c r="D555" s="347" t="s">
        <v>155</v>
      </c>
      <c r="E555" s="347" t="s">
        <v>1181</v>
      </c>
      <c r="F555" s="347"/>
      <c r="G555" s="321">
        <f>G556</f>
        <v>0</v>
      </c>
      <c r="H555" s="321">
        <f t="shared" si="291"/>
        <v>0</v>
      </c>
      <c r="I555" s="321" t="e">
        <f t="shared" si="273"/>
        <v>#DIV/0!</v>
      </c>
    </row>
    <row r="556" spans="1:9" s="112" customFormat="1" ht="31.5" hidden="1" x14ac:dyDescent="0.25">
      <c r="A556" s="349" t="s">
        <v>146</v>
      </c>
      <c r="B556" s="346">
        <v>905</v>
      </c>
      <c r="C556" s="347" t="s">
        <v>133</v>
      </c>
      <c r="D556" s="347" t="s">
        <v>155</v>
      </c>
      <c r="E556" s="347" t="s">
        <v>1181</v>
      </c>
      <c r="F556" s="347" t="s">
        <v>147</v>
      </c>
      <c r="G556" s="321">
        <f>G557</f>
        <v>0</v>
      </c>
      <c r="H556" s="321">
        <f t="shared" si="291"/>
        <v>0</v>
      </c>
      <c r="I556" s="321" t="e">
        <f t="shared" si="273"/>
        <v>#DIV/0!</v>
      </c>
    </row>
    <row r="557" spans="1:9" s="112" customFormat="1" ht="31.5" hidden="1" x14ac:dyDescent="0.25">
      <c r="A557" s="349" t="s">
        <v>148</v>
      </c>
      <c r="B557" s="346">
        <v>905</v>
      </c>
      <c r="C557" s="347" t="s">
        <v>133</v>
      </c>
      <c r="D557" s="347" t="s">
        <v>155</v>
      </c>
      <c r="E557" s="347" t="s">
        <v>1181</v>
      </c>
      <c r="F557" s="347" t="s">
        <v>149</v>
      </c>
      <c r="G557" s="321">
        <f>239.82-239.82</f>
        <v>0</v>
      </c>
      <c r="H557" s="321">
        <f t="shared" ref="H557" si="292">239.82-239.82</f>
        <v>0</v>
      </c>
      <c r="I557" s="321" t="e">
        <f t="shared" si="273"/>
        <v>#DIV/0!</v>
      </c>
    </row>
    <row r="558" spans="1:9" ht="15.75" x14ac:dyDescent="0.25">
      <c r="A558" s="41" t="s">
        <v>405</v>
      </c>
      <c r="B558" s="315">
        <v>905</v>
      </c>
      <c r="C558" s="319" t="s">
        <v>249</v>
      </c>
      <c r="D558" s="319"/>
      <c r="E558" s="319"/>
      <c r="F558" s="319"/>
      <c r="G558" s="317">
        <f>G559</f>
        <v>840.43</v>
      </c>
      <c r="H558" s="317">
        <f t="shared" ref="H558:H560" si="293">H559</f>
        <v>815.90757000000008</v>
      </c>
      <c r="I558" s="317">
        <f t="shared" si="273"/>
        <v>97.0821567530907</v>
      </c>
    </row>
    <row r="559" spans="1:9" ht="15.75" x14ac:dyDescent="0.25">
      <c r="A559" s="41" t="s">
        <v>406</v>
      </c>
      <c r="B559" s="315">
        <v>905</v>
      </c>
      <c r="C559" s="319" t="s">
        <v>249</v>
      </c>
      <c r="D559" s="319" t="s">
        <v>133</v>
      </c>
      <c r="E559" s="319"/>
      <c r="F559" s="319"/>
      <c r="G559" s="317">
        <f>G560</f>
        <v>840.43</v>
      </c>
      <c r="H559" s="317">
        <f t="shared" si="293"/>
        <v>815.90757000000008</v>
      </c>
      <c r="I559" s="317">
        <f t="shared" si="273"/>
        <v>97.0821567530907</v>
      </c>
    </row>
    <row r="560" spans="1:9" s="211" customFormat="1" ht="15.75" x14ac:dyDescent="0.25">
      <c r="A560" s="318" t="s">
        <v>156</v>
      </c>
      <c r="B560" s="315">
        <v>905</v>
      </c>
      <c r="C560" s="319" t="s">
        <v>249</v>
      </c>
      <c r="D560" s="319" t="s">
        <v>133</v>
      </c>
      <c r="E560" s="319" t="s">
        <v>910</v>
      </c>
      <c r="F560" s="319"/>
      <c r="G560" s="317">
        <f>G561</f>
        <v>840.43</v>
      </c>
      <c r="H560" s="317">
        <f t="shared" si="293"/>
        <v>815.90757000000008</v>
      </c>
      <c r="I560" s="317">
        <f t="shared" si="273"/>
        <v>97.0821567530907</v>
      </c>
    </row>
    <row r="561" spans="1:9" s="211" customFormat="1" ht="31.5" x14ac:dyDescent="0.25">
      <c r="A561" s="318" t="s">
        <v>914</v>
      </c>
      <c r="B561" s="315">
        <v>905</v>
      </c>
      <c r="C561" s="319" t="s">
        <v>249</v>
      </c>
      <c r="D561" s="319" t="s">
        <v>133</v>
      </c>
      <c r="E561" s="319" t="s">
        <v>909</v>
      </c>
      <c r="F561" s="319"/>
      <c r="G561" s="317">
        <f>G562+G565</f>
        <v>840.43</v>
      </c>
      <c r="H561" s="317">
        <f t="shared" ref="H561" si="294">H562+H565</f>
        <v>815.90757000000008</v>
      </c>
      <c r="I561" s="317">
        <f t="shared" si="273"/>
        <v>97.0821567530907</v>
      </c>
    </row>
    <row r="562" spans="1:9" ht="31.5" x14ac:dyDescent="0.25">
      <c r="A562" s="323" t="s">
        <v>413</v>
      </c>
      <c r="B562" s="346">
        <v>905</v>
      </c>
      <c r="C562" s="347" t="s">
        <v>249</v>
      </c>
      <c r="D562" s="347" t="s">
        <v>133</v>
      </c>
      <c r="E562" s="347" t="s">
        <v>1095</v>
      </c>
      <c r="F562" s="347"/>
      <c r="G562" s="321">
        <f>G563</f>
        <v>343.32</v>
      </c>
      <c r="H562" s="321">
        <f t="shared" ref="H562:H563" si="295">H563</f>
        <v>319.74392</v>
      </c>
      <c r="I562" s="321">
        <f t="shared" si="273"/>
        <v>93.132913899568919</v>
      </c>
    </row>
    <row r="563" spans="1:9" ht="31.5" x14ac:dyDescent="0.25">
      <c r="A563" s="349" t="s">
        <v>146</v>
      </c>
      <c r="B563" s="346">
        <v>905</v>
      </c>
      <c r="C563" s="347" t="s">
        <v>249</v>
      </c>
      <c r="D563" s="347" t="s">
        <v>133</v>
      </c>
      <c r="E563" s="347" t="s">
        <v>1095</v>
      </c>
      <c r="F563" s="347" t="s">
        <v>147</v>
      </c>
      <c r="G563" s="321">
        <f>G564</f>
        <v>343.32</v>
      </c>
      <c r="H563" s="321">
        <f t="shared" si="295"/>
        <v>319.74392</v>
      </c>
      <c r="I563" s="321">
        <f t="shared" si="273"/>
        <v>93.132913899568919</v>
      </c>
    </row>
    <row r="564" spans="1:9" ht="31.5" x14ac:dyDescent="0.25">
      <c r="A564" s="349" t="s">
        <v>148</v>
      </c>
      <c r="B564" s="346">
        <v>905</v>
      </c>
      <c r="C564" s="347" t="s">
        <v>249</v>
      </c>
      <c r="D564" s="347" t="s">
        <v>133</v>
      </c>
      <c r="E564" s="347" t="s">
        <v>1095</v>
      </c>
      <c r="F564" s="347" t="s">
        <v>149</v>
      </c>
      <c r="G564" s="321">
        <f>263.2+7+0.2+77.12-4.2</f>
        <v>343.32</v>
      </c>
      <c r="H564" s="321">
        <v>319.74392</v>
      </c>
      <c r="I564" s="321">
        <f t="shared" si="273"/>
        <v>93.132913899568919</v>
      </c>
    </row>
    <row r="565" spans="1:9" ht="31.5" x14ac:dyDescent="0.25">
      <c r="A565" s="323" t="s">
        <v>1003</v>
      </c>
      <c r="B565" s="346">
        <v>905</v>
      </c>
      <c r="C565" s="347" t="s">
        <v>249</v>
      </c>
      <c r="D565" s="347" t="s">
        <v>133</v>
      </c>
      <c r="E565" s="347" t="s">
        <v>1096</v>
      </c>
      <c r="F565" s="347"/>
      <c r="G565" s="321">
        <f>G566</f>
        <v>497.10999999999996</v>
      </c>
      <c r="H565" s="321">
        <f t="shared" ref="H565:H566" si="296">H566</f>
        <v>496.16365000000002</v>
      </c>
      <c r="I565" s="321">
        <f t="shared" si="273"/>
        <v>99.809629659431536</v>
      </c>
    </row>
    <row r="566" spans="1:9" ht="31.5" x14ac:dyDescent="0.25">
      <c r="A566" s="349" t="s">
        <v>146</v>
      </c>
      <c r="B566" s="346">
        <v>905</v>
      </c>
      <c r="C566" s="347" t="s">
        <v>249</v>
      </c>
      <c r="D566" s="347" t="s">
        <v>133</v>
      </c>
      <c r="E566" s="347" t="s">
        <v>1096</v>
      </c>
      <c r="F566" s="347" t="s">
        <v>147</v>
      </c>
      <c r="G566" s="321">
        <f>G567</f>
        <v>497.10999999999996</v>
      </c>
      <c r="H566" s="321">
        <f t="shared" si="296"/>
        <v>496.16365000000002</v>
      </c>
      <c r="I566" s="321">
        <f t="shared" si="273"/>
        <v>99.809629659431536</v>
      </c>
    </row>
    <row r="567" spans="1:9" ht="31.5" x14ac:dyDescent="0.25">
      <c r="A567" s="349" t="s">
        <v>148</v>
      </c>
      <c r="B567" s="346">
        <v>905</v>
      </c>
      <c r="C567" s="347" t="s">
        <v>249</v>
      </c>
      <c r="D567" s="347" t="s">
        <v>133</v>
      </c>
      <c r="E567" s="347" t="s">
        <v>1096</v>
      </c>
      <c r="F567" s="347" t="s">
        <v>149</v>
      </c>
      <c r="G567" s="321">
        <f>910.6-140+162.7-256-179-0.2-0.99</f>
        <v>497.10999999999996</v>
      </c>
      <c r="H567" s="321">
        <v>496.16365000000002</v>
      </c>
      <c r="I567" s="321">
        <f t="shared" si="273"/>
        <v>99.809629659431536</v>
      </c>
    </row>
    <row r="568" spans="1:9" s="211" customFormat="1" ht="15.75" x14ac:dyDescent="0.25">
      <c r="A568" s="318" t="s">
        <v>258</v>
      </c>
      <c r="B568" s="315">
        <v>905</v>
      </c>
      <c r="C568" s="319" t="s">
        <v>259</v>
      </c>
      <c r="D568" s="347"/>
      <c r="E568" s="347"/>
      <c r="F568" s="347"/>
      <c r="G568" s="317">
        <f>G569</f>
        <v>31.160000000000082</v>
      </c>
      <c r="H568" s="317">
        <f t="shared" ref="H568:H572" si="297">H569</f>
        <v>0</v>
      </c>
      <c r="I568" s="317">
        <f t="shared" si="273"/>
        <v>0</v>
      </c>
    </row>
    <row r="569" spans="1:9" s="211" customFormat="1" ht="15.75" x14ac:dyDescent="0.25">
      <c r="A569" s="318" t="s">
        <v>415</v>
      </c>
      <c r="B569" s="315">
        <v>905</v>
      </c>
      <c r="C569" s="319" t="s">
        <v>259</v>
      </c>
      <c r="D569" s="319" t="s">
        <v>165</v>
      </c>
      <c r="E569" s="347"/>
      <c r="F569" s="347"/>
      <c r="G569" s="317">
        <f>G570</f>
        <v>31.160000000000082</v>
      </c>
      <c r="H569" s="317">
        <f t="shared" si="297"/>
        <v>0</v>
      </c>
      <c r="I569" s="317">
        <f t="shared" si="273"/>
        <v>0</v>
      </c>
    </row>
    <row r="570" spans="1:9" s="211" customFormat="1" ht="31.5" x14ac:dyDescent="0.25">
      <c r="A570" s="318" t="s">
        <v>930</v>
      </c>
      <c r="B570" s="315">
        <v>905</v>
      </c>
      <c r="C570" s="319" t="s">
        <v>259</v>
      </c>
      <c r="D570" s="319" t="s">
        <v>165</v>
      </c>
      <c r="E570" s="319" t="s">
        <v>907</v>
      </c>
      <c r="F570" s="347"/>
      <c r="G570" s="317">
        <f>G571</f>
        <v>31.160000000000082</v>
      </c>
      <c r="H570" s="317">
        <f t="shared" si="297"/>
        <v>0</v>
      </c>
      <c r="I570" s="317">
        <f t="shared" si="273"/>
        <v>0</v>
      </c>
    </row>
    <row r="571" spans="1:9" s="211" customFormat="1" ht="47.25" x14ac:dyDescent="0.25">
      <c r="A571" s="349" t="s">
        <v>1403</v>
      </c>
      <c r="B571" s="346">
        <v>905</v>
      </c>
      <c r="C571" s="347" t="s">
        <v>259</v>
      </c>
      <c r="D571" s="347" t="s">
        <v>165</v>
      </c>
      <c r="E571" s="347" t="s">
        <v>1402</v>
      </c>
      <c r="F571" s="347"/>
      <c r="G571" s="321">
        <f>G572</f>
        <v>31.160000000000082</v>
      </c>
      <c r="H571" s="321">
        <f t="shared" si="297"/>
        <v>0</v>
      </c>
      <c r="I571" s="321">
        <f t="shared" si="273"/>
        <v>0</v>
      </c>
    </row>
    <row r="572" spans="1:9" s="211" customFormat="1" ht="31.5" x14ac:dyDescent="0.25">
      <c r="A572" s="349" t="s">
        <v>146</v>
      </c>
      <c r="B572" s="346">
        <v>905</v>
      </c>
      <c r="C572" s="347" t="s">
        <v>259</v>
      </c>
      <c r="D572" s="347" t="s">
        <v>165</v>
      </c>
      <c r="E572" s="347" t="s">
        <v>1402</v>
      </c>
      <c r="F572" s="347" t="s">
        <v>147</v>
      </c>
      <c r="G572" s="321">
        <f>G573</f>
        <v>31.160000000000082</v>
      </c>
      <c r="H572" s="321">
        <f t="shared" si="297"/>
        <v>0</v>
      </c>
      <c r="I572" s="321">
        <f t="shared" si="273"/>
        <v>0</v>
      </c>
    </row>
    <row r="573" spans="1:9" s="211" customFormat="1" ht="31.5" x14ac:dyDescent="0.25">
      <c r="A573" s="349" t="s">
        <v>148</v>
      </c>
      <c r="B573" s="346">
        <v>905</v>
      </c>
      <c r="C573" s="347" t="s">
        <v>259</v>
      </c>
      <c r="D573" s="347" t="s">
        <v>165</v>
      </c>
      <c r="E573" s="347" t="s">
        <v>1402</v>
      </c>
      <c r="F573" s="347" t="s">
        <v>149</v>
      </c>
      <c r="G573" s="321">
        <f>1431.16-1400</f>
        <v>31.160000000000082</v>
      </c>
      <c r="H573" s="321">
        <v>0</v>
      </c>
      <c r="I573" s="321">
        <f t="shared" si="273"/>
        <v>0</v>
      </c>
    </row>
    <row r="574" spans="1:9" ht="31.5" x14ac:dyDescent="0.25">
      <c r="A574" s="315" t="s">
        <v>418</v>
      </c>
      <c r="B574" s="315">
        <v>906</v>
      </c>
      <c r="C574" s="319"/>
      <c r="D574" s="319"/>
      <c r="E574" s="319"/>
      <c r="F574" s="319"/>
      <c r="G574" s="317">
        <f>G585+G575</f>
        <v>356823.83074999996</v>
      </c>
      <c r="H574" s="317">
        <f t="shared" ref="H574" si="298">H585+H575</f>
        <v>336265.84522999992</v>
      </c>
      <c r="I574" s="317">
        <f t="shared" si="273"/>
        <v>94.238617561840059</v>
      </c>
    </row>
    <row r="575" spans="1:9" ht="15.75" x14ac:dyDescent="0.25">
      <c r="A575" s="318" t="s">
        <v>132</v>
      </c>
      <c r="B575" s="315">
        <v>906</v>
      </c>
      <c r="C575" s="319" t="s">
        <v>133</v>
      </c>
      <c r="D575" s="319"/>
      <c r="E575" s="319"/>
      <c r="F575" s="319"/>
      <c r="G575" s="317">
        <f t="shared" ref="G575:G580" si="299">G576</f>
        <v>50</v>
      </c>
      <c r="H575" s="317">
        <f t="shared" ref="H575:H580" si="300">H576</f>
        <v>0</v>
      </c>
      <c r="I575" s="317">
        <f t="shared" si="273"/>
        <v>0</v>
      </c>
    </row>
    <row r="576" spans="1:9" ht="15.75" x14ac:dyDescent="0.25">
      <c r="A576" s="34" t="s">
        <v>154</v>
      </c>
      <c r="B576" s="315">
        <v>906</v>
      </c>
      <c r="C576" s="319" t="s">
        <v>133</v>
      </c>
      <c r="D576" s="319" t="s">
        <v>155</v>
      </c>
      <c r="E576" s="319"/>
      <c r="F576" s="319"/>
      <c r="G576" s="317">
        <f t="shared" si="299"/>
        <v>50</v>
      </c>
      <c r="H576" s="317">
        <f t="shared" si="300"/>
        <v>0</v>
      </c>
      <c r="I576" s="317">
        <f t="shared" si="273"/>
        <v>0</v>
      </c>
    </row>
    <row r="577" spans="1:9" ht="47.25" x14ac:dyDescent="0.25">
      <c r="A577" s="318" t="s">
        <v>349</v>
      </c>
      <c r="B577" s="315">
        <v>906</v>
      </c>
      <c r="C577" s="319" t="s">
        <v>133</v>
      </c>
      <c r="D577" s="319" t="s">
        <v>155</v>
      </c>
      <c r="E577" s="319" t="s">
        <v>350</v>
      </c>
      <c r="F577" s="319"/>
      <c r="G577" s="317">
        <f t="shared" si="299"/>
        <v>50</v>
      </c>
      <c r="H577" s="317">
        <f t="shared" si="300"/>
        <v>0</v>
      </c>
      <c r="I577" s="317">
        <f t="shared" si="273"/>
        <v>0</v>
      </c>
    </row>
    <row r="578" spans="1:9" s="211" customFormat="1" ht="31.5" x14ac:dyDescent="0.25">
      <c r="A578" s="218" t="s">
        <v>1223</v>
      </c>
      <c r="B578" s="315">
        <v>906</v>
      </c>
      <c r="C578" s="319" t="s">
        <v>133</v>
      </c>
      <c r="D578" s="319" t="s">
        <v>155</v>
      </c>
      <c r="E578" s="319" t="s">
        <v>1224</v>
      </c>
      <c r="F578" s="319"/>
      <c r="G578" s="317">
        <f t="shared" si="299"/>
        <v>50</v>
      </c>
      <c r="H578" s="317">
        <f t="shared" si="300"/>
        <v>0</v>
      </c>
      <c r="I578" s="317">
        <f t="shared" si="273"/>
        <v>0</v>
      </c>
    </row>
    <row r="579" spans="1:9" ht="31.5" x14ac:dyDescent="0.25">
      <c r="A579" s="98" t="s">
        <v>351</v>
      </c>
      <c r="B579" s="346">
        <v>906</v>
      </c>
      <c r="C579" s="347" t="s">
        <v>133</v>
      </c>
      <c r="D579" s="347" t="s">
        <v>155</v>
      </c>
      <c r="E579" s="347" t="s">
        <v>1225</v>
      </c>
      <c r="F579" s="347"/>
      <c r="G579" s="321">
        <f t="shared" si="299"/>
        <v>50</v>
      </c>
      <c r="H579" s="321">
        <f t="shared" si="300"/>
        <v>0</v>
      </c>
      <c r="I579" s="321">
        <f t="shared" si="273"/>
        <v>0</v>
      </c>
    </row>
    <row r="580" spans="1:9" ht="31.5" x14ac:dyDescent="0.25">
      <c r="A580" s="349" t="s">
        <v>146</v>
      </c>
      <c r="B580" s="346">
        <v>906</v>
      </c>
      <c r="C580" s="347" t="s">
        <v>133</v>
      </c>
      <c r="D580" s="347" t="s">
        <v>155</v>
      </c>
      <c r="E580" s="347" t="s">
        <v>1225</v>
      </c>
      <c r="F580" s="347" t="s">
        <v>147</v>
      </c>
      <c r="G580" s="321">
        <f t="shared" si="299"/>
        <v>50</v>
      </c>
      <c r="H580" s="321">
        <f t="shared" si="300"/>
        <v>0</v>
      </c>
      <c r="I580" s="321">
        <f t="shared" si="273"/>
        <v>0</v>
      </c>
    </row>
    <row r="581" spans="1:9" ht="31.5" x14ac:dyDescent="0.25">
      <c r="A581" s="349" t="s">
        <v>148</v>
      </c>
      <c r="B581" s="346">
        <v>906</v>
      </c>
      <c r="C581" s="347" t="s">
        <v>133</v>
      </c>
      <c r="D581" s="347" t="s">
        <v>155</v>
      </c>
      <c r="E581" s="347" t="s">
        <v>1225</v>
      </c>
      <c r="F581" s="347" t="s">
        <v>149</v>
      </c>
      <c r="G581" s="321">
        <v>50</v>
      </c>
      <c r="H581" s="321">
        <v>0</v>
      </c>
      <c r="I581" s="321">
        <f t="shared" si="273"/>
        <v>0</v>
      </c>
    </row>
    <row r="582" spans="1:9" ht="15.75" hidden="1" x14ac:dyDescent="0.25">
      <c r="A582" s="31" t="s">
        <v>794</v>
      </c>
      <c r="B582" s="346">
        <v>906</v>
      </c>
      <c r="C582" s="347" t="s">
        <v>133</v>
      </c>
      <c r="D582" s="347" t="s">
        <v>155</v>
      </c>
      <c r="E582" s="347" t="s">
        <v>1258</v>
      </c>
      <c r="F582" s="347"/>
      <c r="G582" s="321">
        <f>G583</f>
        <v>0</v>
      </c>
      <c r="H582" s="321">
        <f t="shared" ref="H582:H583" si="301">H583</f>
        <v>0</v>
      </c>
      <c r="I582" s="321" t="e">
        <f t="shared" si="273"/>
        <v>#DIV/0!</v>
      </c>
    </row>
    <row r="583" spans="1:9" ht="31.5" hidden="1" x14ac:dyDescent="0.25">
      <c r="A583" s="349" t="s">
        <v>146</v>
      </c>
      <c r="B583" s="346">
        <v>906</v>
      </c>
      <c r="C583" s="347" t="s">
        <v>133</v>
      </c>
      <c r="D583" s="347" t="s">
        <v>155</v>
      </c>
      <c r="E583" s="347" t="s">
        <v>1258</v>
      </c>
      <c r="F583" s="347" t="s">
        <v>147</v>
      </c>
      <c r="G583" s="321">
        <f>G584</f>
        <v>0</v>
      </c>
      <c r="H583" s="321">
        <f t="shared" si="301"/>
        <v>0</v>
      </c>
      <c r="I583" s="321" t="e">
        <f t="shared" si="273"/>
        <v>#DIV/0!</v>
      </c>
    </row>
    <row r="584" spans="1:9" ht="31.5" hidden="1" x14ac:dyDescent="0.25">
      <c r="A584" s="349" t="s">
        <v>148</v>
      </c>
      <c r="B584" s="346">
        <v>906</v>
      </c>
      <c r="C584" s="347" t="s">
        <v>133</v>
      </c>
      <c r="D584" s="347" t="s">
        <v>155</v>
      </c>
      <c r="E584" s="347" t="s">
        <v>1258</v>
      </c>
      <c r="F584" s="347" t="s">
        <v>149</v>
      </c>
      <c r="G584" s="321">
        <v>0</v>
      </c>
      <c r="H584" s="321">
        <v>0</v>
      </c>
      <c r="I584" s="321" t="e">
        <f t="shared" si="273"/>
        <v>#DIV/0!</v>
      </c>
    </row>
    <row r="585" spans="1:9" ht="15.75" x14ac:dyDescent="0.25">
      <c r="A585" s="318" t="s">
        <v>278</v>
      </c>
      <c r="B585" s="315">
        <v>906</v>
      </c>
      <c r="C585" s="319" t="s">
        <v>279</v>
      </c>
      <c r="D585" s="319"/>
      <c r="E585" s="319"/>
      <c r="F585" s="319"/>
      <c r="G585" s="317">
        <f>G586+G657+G809+G819+G772</f>
        <v>356773.83074999996</v>
      </c>
      <c r="H585" s="317">
        <f t="shared" ref="H585" si="302">H586+H657+H809+H819+H772</f>
        <v>336265.84522999992</v>
      </c>
      <c r="I585" s="317">
        <f t="shared" ref="I585:I648" si="303">H585/G585*100</f>
        <v>94.251824614801833</v>
      </c>
    </row>
    <row r="586" spans="1:9" ht="15.75" x14ac:dyDescent="0.25">
      <c r="A586" s="318" t="s">
        <v>419</v>
      </c>
      <c r="B586" s="315">
        <v>906</v>
      </c>
      <c r="C586" s="319" t="s">
        <v>279</v>
      </c>
      <c r="D586" s="319" t="s">
        <v>133</v>
      </c>
      <c r="E586" s="319"/>
      <c r="F586" s="319"/>
      <c r="G586" s="317">
        <f>G587+G647+G652</f>
        <v>110586.476</v>
      </c>
      <c r="H586" s="317">
        <f t="shared" ref="H586" si="304">H587+H647+H652</f>
        <v>101800.27149000001</v>
      </c>
      <c r="I586" s="317">
        <f t="shared" si="303"/>
        <v>92.054901442017211</v>
      </c>
    </row>
    <row r="587" spans="1:9" ht="51.75" customHeight="1" x14ac:dyDescent="0.25">
      <c r="A587" s="318" t="s">
        <v>420</v>
      </c>
      <c r="B587" s="315">
        <v>906</v>
      </c>
      <c r="C587" s="319" t="s">
        <v>279</v>
      </c>
      <c r="D587" s="319" t="s">
        <v>133</v>
      </c>
      <c r="E587" s="319" t="s">
        <v>421</v>
      </c>
      <c r="F587" s="319"/>
      <c r="G587" s="317">
        <f>G588+G612</f>
        <v>110028.17599999999</v>
      </c>
      <c r="H587" s="317">
        <f t="shared" ref="H587" si="305">H588+H612</f>
        <v>101252.21589000001</v>
      </c>
      <c r="I587" s="317">
        <f t="shared" si="303"/>
        <v>92.023897487858036</v>
      </c>
    </row>
    <row r="588" spans="1:9" ht="31.35" customHeight="1" x14ac:dyDescent="0.25">
      <c r="A588" s="318" t="s">
        <v>422</v>
      </c>
      <c r="B588" s="315">
        <v>906</v>
      </c>
      <c r="C588" s="319" t="s">
        <v>279</v>
      </c>
      <c r="D588" s="319" t="s">
        <v>133</v>
      </c>
      <c r="E588" s="319" t="s">
        <v>423</v>
      </c>
      <c r="F588" s="319"/>
      <c r="G588" s="317">
        <f>G589+G596</f>
        <v>99706.069999999992</v>
      </c>
      <c r="H588" s="317">
        <f t="shared" ref="H588" si="306">H589+H596</f>
        <v>92955.133700000006</v>
      </c>
      <c r="I588" s="317">
        <f t="shared" si="303"/>
        <v>93.22916217638506</v>
      </c>
    </row>
    <row r="589" spans="1:9" s="211" customFormat="1" ht="38.25" customHeight="1" x14ac:dyDescent="0.25">
      <c r="A589" s="318" t="s">
        <v>1026</v>
      </c>
      <c r="B589" s="315">
        <v>906</v>
      </c>
      <c r="C589" s="319" t="s">
        <v>279</v>
      </c>
      <c r="D589" s="319" t="s">
        <v>133</v>
      </c>
      <c r="E589" s="319" t="s">
        <v>1004</v>
      </c>
      <c r="F589" s="319"/>
      <c r="G589" s="317">
        <f>G590+G593</f>
        <v>13348.969999999998</v>
      </c>
      <c r="H589" s="317">
        <f t="shared" ref="H589" si="307">H590+H593</f>
        <v>13316.200670000002</v>
      </c>
      <c r="I589" s="317">
        <f t="shared" si="303"/>
        <v>99.754517914116263</v>
      </c>
    </row>
    <row r="590" spans="1:9" ht="47.25" x14ac:dyDescent="0.25">
      <c r="A590" s="349" t="s">
        <v>1061</v>
      </c>
      <c r="B590" s="346">
        <v>906</v>
      </c>
      <c r="C590" s="347" t="s">
        <v>279</v>
      </c>
      <c r="D590" s="347" t="s">
        <v>133</v>
      </c>
      <c r="E590" s="347" t="s">
        <v>1060</v>
      </c>
      <c r="F590" s="347"/>
      <c r="G590" s="321">
        <f>G591</f>
        <v>9226.4039999999986</v>
      </c>
      <c r="H590" s="321">
        <f t="shared" ref="H590:H591" si="308">H591</f>
        <v>9202.5040000000008</v>
      </c>
      <c r="I590" s="321">
        <f t="shared" si="303"/>
        <v>99.740960833711625</v>
      </c>
    </row>
    <row r="591" spans="1:9" ht="31.5" x14ac:dyDescent="0.25">
      <c r="A591" s="349" t="s">
        <v>287</v>
      </c>
      <c r="B591" s="346">
        <v>906</v>
      </c>
      <c r="C591" s="347" t="s">
        <v>279</v>
      </c>
      <c r="D591" s="347" t="s">
        <v>133</v>
      </c>
      <c r="E591" s="347" t="s">
        <v>1060</v>
      </c>
      <c r="F591" s="347" t="s">
        <v>288</v>
      </c>
      <c r="G591" s="321">
        <f>G592</f>
        <v>9226.4039999999986</v>
      </c>
      <c r="H591" s="321">
        <f t="shared" si="308"/>
        <v>9202.5040000000008</v>
      </c>
      <c r="I591" s="321">
        <f t="shared" si="303"/>
        <v>99.740960833711625</v>
      </c>
    </row>
    <row r="592" spans="1:9" ht="15.75" x14ac:dyDescent="0.25">
      <c r="A592" s="349" t="s">
        <v>289</v>
      </c>
      <c r="B592" s="346">
        <v>906</v>
      </c>
      <c r="C592" s="347" t="s">
        <v>279</v>
      </c>
      <c r="D592" s="347" t="s">
        <v>133</v>
      </c>
      <c r="E592" s="347" t="s">
        <v>1060</v>
      </c>
      <c r="F592" s="347" t="s">
        <v>290</v>
      </c>
      <c r="G592" s="339">
        <f>13527-5302.7-1000+990+609.4+95.9+114+17.26+100+78.404-2.86</f>
        <v>9226.4039999999986</v>
      </c>
      <c r="H592" s="339">
        <v>9202.5040000000008</v>
      </c>
      <c r="I592" s="321">
        <f t="shared" si="303"/>
        <v>99.740960833711625</v>
      </c>
    </row>
    <row r="593" spans="1:9" s="211" customFormat="1" ht="47.25" x14ac:dyDescent="0.25">
      <c r="A593" s="349" t="s">
        <v>1236</v>
      </c>
      <c r="B593" s="346">
        <v>906</v>
      </c>
      <c r="C593" s="347" t="s">
        <v>279</v>
      </c>
      <c r="D593" s="347" t="s">
        <v>133</v>
      </c>
      <c r="E593" s="347" t="s">
        <v>1062</v>
      </c>
      <c r="F593" s="347"/>
      <c r="G593" s="321">
        <f>G594</f>
        <v>4122.5659999999998</v>
      </c>
      <c r="H593" s="321">
        <f t="shared" ref="H593:H594" si="309">H594</f>
        <v>4113.6966700000003</v>
      </c>
      <c r="I593" s="321">
        <f t="shared" si="303"/>
        <v>99.784858993161066</v>
      </c>
    </row>
    <row r="594" spans="1:9" s="211" customFormat="1" ht="31.5" x14ac:dyDescent="0.25">
      <c r="A594" s="349" t="s">
        <v>287</v>
      </c>
      <c r="B594" s="346">
        <v>906</v>
      </c>
      <c r="C594" s="347" t="s">
        <v>279</v>
      </c>
      <c r="D594" s="347" t="s">
        <v>133</v>
      </c>
      <c r="E594" s="347" t="s">
        <v>1062</v>
      </c>
      <c r="F594" s="347" t="s">
        <v>288</v>
      </c>
      <c r="G594" s="321">
        <f>G595</f>
        <v>4122.5659999999998</v>
      </c>
      <c r="H594" s="321">
        <f t="shared" si="309"/>
        <v>4113.6966700000003</v>
      </c>
      <c r="I594" s="321">
        <f t="shared" si="303"/>
        <v>99.784858993161066</v>
      </c>
    </row>
    <row r="595" spans="1:9" s="211" customFormat="1" ht="15.75" x14ac:dyDescent="0.25">
      <c r="A595" s="349" t="s">
        <v>289</v>
      </c>
      <c r="B595" s="346">
        <v>906</v>
      </c>
      <c r="C595" s="347" t="s">
        <v>279</v>
      </c>
      <c r="D595" s="347" t="s">
        <v>133</v>
      </c>
      <c r="E595" s="347" t="s">
        <v>1062</v>
      </c>
      <c r="F595" s="347" t="s">
        <v>290</v>
      </c>
      <c r="G595" s="339">
        <f>4802.7-609.4+51.7-126.404+3.8+0.17</f>
        <v>4122.5659999999998</v>
      </c>
      <c r="H595" s="339">
        <v>4113.6966700000003</v>
      </c>
      <c r="I595" s="321">
        <f t="shared" si="303"/>
        <v>99.784858993161066</v>
      </c>
    </row>
    <row r="596" spans="1:9" s="211" customFormat="1" ht="31.7" customHeight="1" x14ac:dyDescent="0.25">
      <c r="A596" s="318" t="s">
        <v>969</v>
      </c>
      <c r="B596" s="315">
        <v>906</v>
      </c>
      <c r="C596" s="319" t="s">
        <v>279</v>
      </c>
      <c r="D596" s="319" t="s">
        <v>133</v>
      </c>
      <c r="E596" s="319" t="s">
        <v>1019</v>
      </c>
      <c r="F596" s="319"/>
      <c r="G596" s="44">
        <f>G600+G603+G606+G609+G597</f>
        <v>86357.099999999991</v>
      </c>
      <c r="H596" s="44">
        <f t="shared" ref="H596" si="310">H600+H603+H606+H609+H597</f>
        <v>79638.93303</v>
      </c>
      <c r="I596" s="317">
        <f t="shared" si="303"/>
        <v>92.220481037459578</v>
      </c>
    </row>
    <row r="597" spans="1:9" s="310" customFormat="1" ht="80.45" customHeight="1" x14ac:dyDescent="0.25">
      <c r="A597" s="31" t="s">
        <v>308</v>
      </c>
      <c r="B597" s="346">
        <v>906</v>
      </c>
      <c r="C597" s="347" t="s">
        <v>279</v>
      </c>
      <c r="D597" s="347" t="s">
        <v>133</v>
      </c>
      <c r="E597" s="347" t="s">
        <v>1507</v>
      </c>
      <c r="F597" s="347"/>
      <c r="G597" s="339">
        <f>G598</f>
        <v>2482.6999999999998</v>
      </c>
      <c r="H597" s="339">
        <f t="shared" ref="H597:H598" si="311">H598</f>
        <v>2482.6999999999998</v>
      </c>
      <c r="I597" s="321">
        <f t="shared" si="303"/>
        <v>100</v>
      </c>
    </row>
    <row r="598" spans="1:9" s="310" customFormat="1" ht="31.7" customHeight="1" x14ac:dyDescent="0.25">
      <c r="A598" s="349" t="s">
        <v>287</v>
      </c>
      <c r="B598" s="346">
        <v>906</v>
      </c>
      <c r="C598" s="347" t="s">
        <v>279</v>
      </c>
      <c r="D598" s="347" t="s">
        <v>133</v>
      </c>
      <c r="E598" s="347" t="s">
        <v>1507</v>
      </c>
      <c r="F598" s="347" t="s">
        <v>288</v>
      </c>
      <c r="G598" s="339">
        <f>G599</f>
        <v>2482.6999999999998</v>
      </c>
      <c r="H598" s="339">
        <f t="shared" si="311"/>
        <v>2482.6999999999998</v>
      </c>
      <c r="I598" s="321">
        <f t="shared" si="303"/>
        <v>100</v>
      </c>
    </row>
    <row r="599" spans="1:9" s="310" customFormat="1" ht="15.75" x14ac:dyDescent="0.25">
      <c r="A599" s="349" t="s">
        <v>289</v>
      </c>
      <c r="B599" s="346">
        <v>906</v>
      </c>
      <c r="C599" s="347" t="s">
        <v>279</v>
      </c>
      <c r="D599" s="347" t="s">
        <v>133</v>
      </c>
      <c r="E599" s="347" t="s">
        <v>1507</v>
      </c>
      <c r="F599" s="347" t="s">
        <v>290</v>
      </c>
      <c r="G599" s="339">
        <f>1966.1+516.6</f>
        <v>2482.6999999999998</v>
      </c>
      <c r="H599" s="339">
        <v>2482.6999999999998</v>
      </c>
      <c r="I599" s="321">
        <f t="shared" si="303"/>
        <v>100</v>
      </c>
    </row>
    <row r="600" spans="1:9" s="211" customFormat="1" ht="61.5" customHeight="1" x14ac:dyDescent="0.25">
      <c r="A600" s="31" t="s">
        <v>304</v>
      </c>
      <c r="B600" s="346">
        <v>906</v>
      </c>
      <c r="C600" s="347" t="s">
        <v>279</v>
      </c>
      <c r="D600" s="347" t="s">
        <v>133</v>
      </c>
      <c r="E600" s="347" t="s">
        <v>1018</v>
      </c>
      <c r="F600" s="347"/>
      <c r="G600" s="321">
        <f>G601</f>
        <v>559.70000000000005</v>
      </c>
      <c r="H600" s="321">
        <f t="shared" ref="H600:H601" si="312">H601</f>
        <v>391.11741999999998</v>
      </c>
      <c r="I600" s="321">
        <f t="shared" si="303"/>
        <v>69.879832052885462</v>
      </c>
    </row>
    <row r="601" spans="1:9" s="211" customFormat="1" ht="31.5" x14ac:dyDescent="0.25">
      <c r="A601" s="349" t="s">
        <v>287</v>
      </c>
      <c r="B601" s="346">
        <v>906</v>
      </c>
      <c r="C601" s="347" t="s">
        <v>279</v>
      </c>
      <c r="D601" s="347" t="s">
        <v>133</v>
      </c>
      <c r="E601" s="347" t="s">
        <v>1018</v>
      </c>
      <c r="F601" s="347" t="s">
        <v>288</v>
      </c>
      <c r="G601" s="321">
        <f>G602</f>
        <v>559.70000000000005</v>
      </c>
      <c r="H601" s="321">
        <f t="shared" si="312"/>
        <v>391.11741999999998</v>
      </c>
      <c r="I601" s="321">
        <f t="shared" si="303"/>
        <v>69.879832052885462</v>
      </c>
    </row>
    <row r="602" spans="1:9" s="211" customFormat="1" ht="15.75" x14ac:dyDescent="0.25">
      <c r="A602" s="349" t="s">
        <v>289</v>
      </c>
      <c r="B602" s="346">
        <v>906</v>
      </c>
      <c r="C602" s="347" t="s">
        <v>279</v>
      </c>
      <c r="D602" s="347" t="s">
        <v>133</v>
      </c>
      <c r="E602" s="347" t="s">
        <v>1018</v>
      </c>
      <c r="F602" s="347" t="s">
        <v>290</v>
      </c>
      <c r="G602" s="321">
        <f>559.71-0.01</f>
        <v>559.70000000000005</v>
      </c>
      <c r="H602" s="321">
        <v>391.11741999999998</v>
      </c>
      <c r="I602" s="321">
        <f t="shared" si="303"/>
        <v>69.879832052885462</v>
      </c>
    </row>
    <row r="603" spans="1:9" s="211" customFormat="1" ht="63" x14ac:dyDescent="0.25">
      <c r="A603" s="31" t="s">
        <v>435</v>
      </c>
      <c r="B603" s="346">
        <v>906</v>
      </c>
      <c r="C603" s="347" t="s">
        <v>279</v>
      </c>
      <c r="D603" s="347" t="s">
        <v>133</v>
      </c>
      <c r="E603" s="347" t="s">
        <v>1021</v>
      </c>
      <c r="F603" s="347"/>
      <c r="G603" s="321">
        <f>G604</f>
        <v>1629.3</v>
      </c>
      <c r="H603" s="321">
        <f t="shared" ref="H603:H604" si="313">H604</f>
        <v>1191.49667</v>
      </c>
      <c r="I603" s="321">
        <f t="shared" si="303"/>
        <v>73.129360461547904</v>
      </c>
    </row>
    <row r="604" spans="1:9" s="211" customFormat="1" ht="31.5" x14ac:dyDescent="0.25">
      <c r="A604" s="349" t="s">
        <v>287</v>
      </c>
      <c r="B604" s="346">
        <v>906</v>
      </c>
      <c r="C604" s="347" t="s">
        <v>279</v>
      </c>
      <c r="D604" s="347" t="s">
        <v>133</v>
      </c>
      <c r="E604" s="347" t="s">
        <v>1021</v>
      </c>
      <c r="F604" s="347" t="s">
        <v>288</v>
      </c>
      <c r="G604" s="321">
        <f>G605</f>
        <v>1629.3</v>
      </c>
      <c r="H604" s="321">
        <f t="shared" si="313"/>
        <v>1191.49667</v>
      </c>
      <c r="I604" s="321">
        <f t="shared" si="303"/>
        <v>73.129360461547904</v>
      </c>
    </row>
    <row r="605" spans="1:9" s="211" customFormat="1" ht="15.75" x14ac:dyDescent="0.25">
      <c r="A605" s="349" t="s">
        <v>289</v>
      </c>
      <c r="B605" s="346">
        <v>906</v>
      </c>
      <c r="C605" s="347" t="s">
        <v>279</v>
      </c>
      <c r="D605" s="347" t="s">
        <v>133</v>
      </c>
      <c r="E605" s="347" t="s">
        <v>1021</v>
      </c>
      <c r="F605" s="347" t="s">
        <v>290</v>
      </c>
      <c r="G605" s="321">
        <f>1629.37-0.07</f>
        <v>1629.3</v>
      </c>
      <c r="H605" s="321">
        <v>1191.49667</v>
      </c>
      <c r="I605" s="321">
        <f t="shared" si="303"/>
        <v>73.129360461547904</v>
      </c>
    </row>
    <row r="606" spans="1:9" s="211" customFormat="1" ht="78.75" x14ac:dyDescent="0.25">
      <c r="A606" s="31" t="s">
        <v>436</v>
      </c>
      <c r="B606" s="346">
        <v>906</v>
      </c>
      <c r="C606" s="347" t="s">
        <v>279</v>
      </c>
      <c r="D606" s="347" t="s">
        <v>133</v>
      </c>
      <c r="E606" s="347" t="s">
        <v>1020</v>
      </c>
      <c r="F606" s="347"/>
      <c r="G606" s="321">
        <f>G607</f>
        <v>80735.399999999994</v>
      </c>
      <c r="H606" s="321">
        <f t="shared" ref="H606:H607" si="314">H607</f>
        <v>74623.61894</v>
      </c>
      <c r="I606" s="321">
        <f t="shared" si="303"/>
        <v>92.429862167029583</v>
      </c>
    </row>
    <row r="607" spans="1:9" s="211" customFormat="1" ht="31.5" x14ac:dyDescent="0.25">
      <c r="A607" s="349" t="s">
        <v>287</v>
      </c>
      <c r="B607" s="346">
        <v>906</v>
      </c>
      <c r="C607" s="347" t="s">
        <v>279</v>
      </c>
      <c r="D607" s="347" t="s">
        <v>133</v>
      </c>
      <c r="E607" s="347" t="s">
        <v>1020</v>
      </c>
      <c r="F607" s="347" t="s">
        <v>288</v>
      </c>
      <c r="G607" s="321">
        <f>G608</f>
        <v>80735.399999999994</v>
      </c>
      <c r="H607" s="321">
        <f t="shared" si="314"/>
        <v>74623.61894</v>
      </c>
      <c r="I607" s="321">
        <f t="shared" si="303"/>
        <v>92.429862167029583</v>
      </c>
    </row>
    <row r="608" spans="1:9" s="211" customFormat="1" ht="15.75" x14ac:dyDescent="0.25">
      <c r="A608" s="349" t="s">
        <v>289</v>
      </c>
      <c r="B608" s="346">
        <v>906</v>
      </c>
      <c r="C608" s="347" t="s">
        <v>279</v>
      </c>
      <c r="D608" s="347" t="s">
        <v>133</v>
      </c>
      <c r="E608" s="347" t="s">
        <v>1020</v>
      </c>
      <c r="F608" s="347" t="s">
        <v>290</v>
      </c>
      <c r="G608" s="339">
        <v>80735.399999999994</v>
      </c>
      <c r="H608" s="339">
        <v>74623.61894</v>
      </c>
      <c r="I608" s="321">
        <f t="shared" si="303"/>
        <v>92.429862167029583</v>
      </c>
    </row>
    <row r="609" spans="1:9" s="211" customFormat="1" ht="84.75" customHeight="1" x14ac:dyDescent="0.25">
      <c r="A609" s="31" t="s">
        <v>308</v>
      </c>
      <c r="B609" s="346">
        <v>906</v>
      </c>
      <c r="C609" s="347" t="s">
        <v>279</v>
      </c>
      <c r="D609" s="347" t="s">
        <v>133</v>
      </c>
      <c r="E609" s="347" t="s">
        <v>1022</v>
      </c>
      <c r="F609" s="347"/>
      <c r="G609" s="321">
        <f>G610</f>
        <v>950.00000000000045</v>
      </c>
      <c r="H609" s="321">
        <f t="shared" ref="H609:H610" si="315">H610</f>
        <v>950</v>
      </c>
      <c r="I609" s="321">
        <f t="shared" si="303"/>
        <v>99.999999999999957</v>
      </c>
    </row>
    <row r="610" spans="1:9" s="211" customFormat="1" ht="31.5" x14ac:dyDescent="0.25">
      <c r="A610" s="349" t="s">
        <v>287</v>
      </c>
      <c r="B610" s="346">
        <v>906</v>
      </c>
      <c r="C610" s="347" t="s">
        <v>279</v>
      </c>
      <c r="D610" s="347" t="s">
        <v>133</v>
      </c>
      <c r="E610" s="347" t="s">
        <v>1022</v>
      </c>
      <c r="F610" s="347" t="s">
        <v>288</v>
      </c>
      <c r="G610" s="321">
        <f>G611</f>
        <v>950.00000000000045</v>
      </c>
      <c r="H610" s="321">
        <f t="shared" si="315"/>
        <v>950</v>
      </c>
      <c r="I610" s="321">
        <f t="shared" si="303"/>
        <v>99.999999999999957</v>
      </c>
    </row>
    <row r="611" spans="1:9" s="211" customFormat="1" ht="15.75" x14ac:dyDescent="0.25">
      <c r="A611" s="349" t="s">
        <v>289</v>
      </c>
      <c r="B611" s="346">
        <v>906</v>
      </c>
      <c r="C611" s="347" t="s">
        <v>279</v>
      </c>
      <c r="D611" s="347" t="s">
        <v>133</v>
      </c>
      <c r="E611" s="347" t="s">
        <v>1022</v>
      </c>
      <c r="F611" s="347" t="s">
        <v>290</v>
      </c>
      <c r="G611" s="339">
        <f>2916.07+0.03-1966.1</f>
        <v>950.00000000000045</v>
      </c>
      <c r="H611" s="339">
        <v>950</v>
      </c>
      <c r="I611" s="321">
        <f t="shared" si="303"/>
        <v>99.999999999999957</v>
      </c>
    </row>
    <row r="612" spans="1:9" ht="30.2" customHeight="1" x14ac:dyDescent="0.25">
      <c r="A612" s="318" t="s">
        <v>426</v>
      </c>
      <c r="B612" s="315">
        <v>906</v>
      </c>
      <c r="C612" s="319" t="s">
        <v>279</v>
      </c>
      <c r="D612" s="319" t="s">
        <v>133</v>
      </c>
      <c r="E612" s="319" t="s">
        <v>427</v>
      </c>
      <c r="F612" s="319"/>
      <c r="G612" s="317">
        <f>G613+G623+G633+G640</f>
        <v>10322.106</v>
      </c>
      <c r="H612" s="317">
        <f t="shared" ref="H612" si="316">H613+H623+H633+H640</f>
        <v>8297.0821899999992</v>
      </c>
      <c r="I612" s="317">
        <f t="shared" si="303"/>
        <v>80.381679765737729</v>
      </c>
    </row>
    <row r="613" spans="1:9" s="211" customFormat="1" ht="30.2" customHeight="1" x14ac:dyDescent="0.25">
      <c r="A613" s="318" t="s">
        <v>1005</v>
      </c>
      <c r="B613" s="315">
        <v>906</v>
      </c>
      <c r="C613" s="319" t="s">
        <v>279</v>
      </c>
      <c r="D613" s="319" t="s">
        <v>133</v>
      </c>
      <c r="E613" s="319" t="s">
        <v>1006</v>
      </c>
      <c r="F613" s="319"/>
      <c r="G613" s="317">
        <f>G614+G617+G620</f>
        <v>4184.2160000000003</v>
      </c>
      <c r="H613" s="317">
        <f t="shared" ref="H613" si="317">H614+H617+H620</f>
        <v>4184.1282700000002</v>
      </c>
      <c r="I613" s="317">
        <f t="shared" si="303"/>
        <v>99.997903310918929</v>
      </c>
    </row>
    <row r="614" spans="1:9" ht="35.450000000000003" customHeight="1" x14ac:dyDescent="0.25">
      <c r="A614" s="349" t="s">
        <v>293</v>
      </c>
      <c r="B614" s="346">
        <v>906</v>
      </c>
      <c r="C614" s="347" t="s">
        <v>279</v>
      </c>
      <c r="D614" s="347" t="s">
        <v>133</v>
      </c>
      <c r="E614" s="347" t="s">
        <v>1007</v>
      </c>
      <c r="F614" s="347"/>
      <c r="G614" s="321">
        <f>G615</f>
        <v>474</v>
      </c>
      <c r="H614" s="321">
        <f t="shared" ref="H614:H615" si="318">H615</f>
        <v>473.99592999999999</v>
      </c>
      <c r="I614" s="321">
        <f t="shared" si="303"/>
        <v>99.999141350210962</v>
      </c>
    </row>
    <row r="615" spans="1:9" ht="35.450000000000003" customHeight="1" x14ac:dyDescent="0.25">
      <c r="A615" s="349" t="s">
        <v>287</v>
      </c>
      <c r="B615" s="346">
        <v>906</v>
      </c>
      <c r="C615" s="347" t="s">
        <v>279</v>
      </c>
      <c r="D615" s="347" t="s">
        <v>133</v>
      </c>
      <c r="E615" s="347" t="s">
        <v>1007</v>
      </c>
      <c r="F615" s="347" t="s">
        <v>288</v>
      </c>
      <c r="G615" s="321">
        <f>G616</f>
        <v>474</v>
      </c>
      <c r="H615" s="321">
        <f t="shared" si="318"/>
        <v>473.99592999999999</v>
      </c>
      <c r="I615" s="321">
        <f t="shared" si="303"/>
        <v>99.999141350210962</v>
      </c>
    </row>
    <row r="616" spans="1:9" ht="15.75" customHeight="1" x14ac:dyDescent="0.25">
      <c r="A616" s="349" t="s">
        <v>289</v>
      </c>
      <c r="B616" s="346">
        <v>906</v>
      </c>
      <c r="C616" s="347" t="s">
        <v>279</v>
      </c>
      <c r="D616" s="347" t="s">
        <v>133</v>
      </c>
      <c r="E616" s="347" t="s">
        <v>1007</v>
      </c>
      <c r="F616" s="347" t="s">
        <v>290</v>
      </c>
      <c r="G616" s="321">
        <f>200+374-100</f>
        <v>474</v>
      </c>
      <c r="H616" s="321">
        <v>473.99592999999999</v>
      </c>
      <c r="I616" s="321">
        <f t="shared" si="303"/>
        <v>99.999141350210962</v>
      </c>
    </row>
    <row r="617" spans="1:9" ht="39.200000000000003" customHeight="1" x14ac:dyDescent="0.25">
      <c r="A617" s="349" t="s">
        <v>295</v>
      </c>
      <c r="B617" s="346">
        <v>906</v>
      </c>
      <c r="C617" s="347" t="s">
        <v>279</v>
      </c>
      <c r="D617" s="347" t="s">
        <v>133</v>
      </c>
      <c r="E617" s="347" t="s">
        <v>1008</v>
      </c>
      <c r="F617" s="347"/>
      <c r="G617" s="321">
        <f>G618</f>
        <v>67.400000000000006</v>
      </c>
      <c r="H617" s="321">
        <f t="shared" ref="H617:H618" si="319">H618</f>
        <v>67.317449999999994</v>
      </c>
      <c r="I617" s="321">
        <f t="shared" si="303"/>
        <v>99.877522255192858</v>
      </c>
    </row>
    <row r="618" spans="1:9" ht="31.5" x14ac:dyDescent="0.25">
      <c r="A618" s="349" t="s">
        <v>287</v>
      </c>
      <c r="B618" s="346">
        <v>906</v>
      </c>
      <c r="C618" s="347" t="s">
        <v>279</v>
      </c>
      <c r="D618" s="347" t="s">
        <v>133</v>
      </c>
      <c r="E618" s="347" t="s">
        <v>1008</v>
      </c>
      <c r="F618" s="347" t="s">
        <v>288</v>
      </c>
      <c r="G618" s="321">
        <f>G619</f>
        <v>67.400000000000006</v>
      </c>
      <c r="H618" s="321">
        <f t="shared" si="319"/>
        <v>67.317449999999994</v>
      </c>
      <c r="I618" s="321">
        <f t="shared" si="303"/>
        <v>99.877522255192858</v>
      </c>
    </row>
    <row r="619" spans="1:9" ht="15.75" x14ac:dyDescent="0.25">
      <c r="A619" s="349" t="s">
        <v>289</v>
      </c>
      <c r="B619" s="346">
        <v>906</v>
      </c>
      <c r="C619" s="347" t="s">
        <v>279</v>
      </c>
      <c r="D619" s="347" t="s">
        <v>133</v>
      </c>
      <c r="E619" s="347" t="s">
        <v>1008</v>
      </c>
      <c r="F619" s="347" t="s">
        <v>290</v>
      </c>
      <c r="G619" s="321">
        <v>67.400000000000006</v>
      </c>
      <c r="H619" s="321">
        <v>67.317449999999994</v>
      </c>
      <c r="I619" s="321">
        <f t="shared" si="303"/>
        <v>99.877522255192858</v>
      </c>
    </row>
    <row r="620" spans="1:9" ht="31.5" x14ac:dyDescent="0.25">
      <c r="A620" s="323" t="s">
        <v>430</v>
      </c>
      <c r="B620" s="346">
        <v>906</v>
      </c>
      <c r="C620" s="347" t="s">
        <v>279</v>
      </c>
      <c r="D620" s="347" t="s">
        <v>133</v>
      </c>
      <c r="E620" s="347" t="s">
        <v>1009</v>
      </c>
      <c r="F620" s="347"/>
      <c r="G620" s="321">
        <f>G621</f>
        <v>3642.8160000000003</v>
      </c>
      <c r="H620" s="321">
        <f t="shared" ref="H620:H621" si="320">H621</f>
        <v>3642.8148900000001</v>
      </c>
      <c r="I620" s="321">
        <f t="shared" si="303"/>
        <v>99.999969529067627</v>
      </c>
    </row>
    <row r="621" spans="1:9" ht="31.5" x14ac:dyDescent="0.25">
      <c r="A621" s="349" t="s">
        <v>287</v>
      </c>
      <c r="B621" s="346">
        <v>906</v>
      </c>
      <c r="C621" s="347" t="s">
        <v>279</v>
      </c>
      <c r="D621" s="347" t="s">
        <v>133</v>
      </c>
      <c r="E621" s="347" t="s">
        <v>1009</v>
      </c>
      <c r="F621" s="347" t="s">
        <v>288</v>
      </c>
      <c r="G621" s="321">
        <f>G622</f>
        <v>3642.8160000000003</v>
      </c>
      <c r="H621" s="321">
        <f t="shared" si="320"/>
        <v>3642.8148900000001</v>
      </c>
      <c r="I621" s="321">
        <f t="shared" si="303"/>
        <v>99.999969529067627</v>
      </c>
    </row>
    <row r="622" spans="1:9" ht="15.75" x14ac:dyDescent="0.25">
      <c r="A622" s="349" t="s">
        <v>289</v>
      </c>
      <c r="B622" s="346">
        <v>906</v>
      </c>
      <c r="C622" s="347" t="s">
        <v>279</v>
      </c>
      <c r="D622" s="347" t="s">
        <v>133</v>
      </c>
      <c r="E622" s="347" t="s">
        <v>1009</v>
      </c>
      <c r="F622" s="347" t="s">
        <v>290</v>
      </c>
      <c r="G622" s="339">
        <f>4430-45-95.9-114-17.26-51.7-463.324</f>
        <v>3642.8160000000003</v>
      </c>
      <c r="H622" s="339">
        <v>3642.8148900000001</v>
      </c>
      <c r="I622" s="321">
        <f t="shared" si="303"/>
        <v>99.999969529067627</v>
      </c>
    </row>
    <row r="623" spans="1:9" s="211" customFormat="1" ht="31.5" x14ac:dyDescent="0.25">
      <c r="A623" s="224" t="s">
        <v>1075</v>
      </c>
      <c r="B623" s="315">
        <v>906</v>
      </c>
      <c r="C623" s="319" t="s">
        <v>279</v>
      </c>
      <c r="D623" s="319" t="s">
        <v>133</v>
      </c>
      <c r="E623" s="319" t="s">
        <v>1010</v>
      </c>
      <c r="F623" s="319"/>
      <c r="G623" s="44">
        <f>G624+G627+G630</f>
        <v>4108.8900000000003</v>
      </c>
      <c r="H623" s="44">
        <f t="shared" ref="H623" si="321">H624+H627+H630</f>
        <v>3753.9682599999996</v>
      </c>
      <c r="I623" s="317">
        <f t="shared" si="303"/>
        <v>91.362101686830243</v>
      </c>
    </row>
    <row r="624" spans="1:9" ht="31.7" customHeight="1" x14ac:dyDescent="0.25">
      <c r="A624" s="349" t="s">
        <v>299</v>
      </c>
      <c r="B624" s="346">
        <v>906</v>
      </c>
      <c r="C624" s="347" t="s">
        <v>279</v>
      </c>
      <c r="D624" s="347" t="s">
        <v>133</v>
      </c>
      <c r="E624" s="347" t="s">
        <v>1011</v>
      </c>
      <c r="F624" s="347"/>
      <c r="G624" s="321">
        <f>G625</f>
        <v>56.78</v>
      </c>
      <c r="H624" s="321">
        <f t="shared" ref="H624:H625" si="322">H625</f>
        <v>56.779220000000002</v>
      </c>
      <c r="I624" s="321">
        <f t="shared" si="303"/>
        <v>99.998626276858047</v>
      </c>
    </row>
    <row r="625" spans="1:9" ht="38.25" customHeight="1" x14ac:dyDescent="0.25">
      <c r="A625" s="349" t="s">
        <v>287</v>
      </c>
      <c r="B625" s="346">
        <v>906</v>
      </c>
      <c r="C625" s="347" t="s">
        <v>279</v>
      </c>
      <c r="D625" s="347" t="s">
        <v>133</v>
      </c>
      <c r="E625" s="347" t="s">
        <v>1011</v>
      </c>
      <c r="F625" s="347" t="s">
        <v>288</v>
      </c>
      <c r="G625" s="321">
        <f>G626</f>
        <v>56.78</v>
      </c>
      <c r="H625" s="321">
        <f t="shared" si="322"/>
        <v>56.779220000000002</v>
      </c>
      <c r="I625" s="321">
        <f t="shared" si="303"/>
        <v>99.998626276858047</v>
      </c>
    </row>
    <row r="626" spans="1:9" ht="15.75" customHeight="1" x14ac:dyDescent="0.25">
      <c r="A626" s="349" t="s">
        <v>289</v>
      </c>
      <c r="B626" s="346">
        <v>906</v>
      </c>
      <c r="C626" s="347" t="s">
        <v>279</v>
      </c>
      <c r="D626" s="347" t="s">
        <v>133</v>
      </c>
      <c r="E626" s="347" t="s">
        <v>1011</v>
      </c>
      <c r="F626" s="347" t="s">
        <v>290</v>
      </c>
      <c r="G626" s="321">
        <v>56.78</v>
      </c>
      <c r="H626" s="321">
        <v>56.779220000000002</v>
      </c>
      <c r="I626" s="321">
        <f t="shared" si="303"/>
        <v>99.998626276858047</v>
      </c>
    </row>
    <row r="627" spans="1:9" ht="34.5" customHeight="1" x14ac:dyDescent="0.25">
      <c r="A627" s="60" t="s">
        <v>785</v>
      </c>
      <c r="B627" s="346">
        <v>906</v>
      </c>
      <c r="C627" s="347" t="s">
        <v>279</v>
      </c>
      <c r="D627" s="347" t="s">
        <v>133</v>
      </c>
      <c r="E627" s="347" t="s">
        <v>1012</v>
      </c>
      <c r="F627" s="347"/>
      <c r="G627" s="321">
        <f>G628</f>
        <v>2989.9</v>
      </c>
      <c r="H627" s="321">
        <f t="shared" ref="H627:H628" si="323">H628</f>
        <v>2698.9312</v>
      </c>
      <c r="I627" s="321">
        <f t="shared" si="303"/>
        <v>90.268276530987663</v>
      </c>
    </row>
    <row r="628" spans="1:9" ht="32.25" customHeight="1" x14ac:dyDescent="0.25">
      <c r="A628" s="323" t="s">
        <v>287</v>
      </c>
      <c r="B628" s="346">
        <v>906</v>
      </c>
      <c r="C628" s="347" t="s">
        <v>279</v>
      </c>
      <c r="D628" s="347" t="s">
        <v>133</v>
      </c>
      <c r="E628" s="347" t="s">
        <v>1012</v>
      </c>
      <c r="F628" s="347" t="s">
        <v>288</v>
      </c>
      <c r="G628" s="321">
        <f>G629</f>
        <v>2989.9</v>
      </c>
      <c r="H628" s="321">
        <f t="shared" si="323"/>
        <v>2698.9312</v>
      </c>
      <c r="I628" s="321">
        <f t="shared" si="303"/>
        <v>90.268276530987663</v>
      </c>
    </row>
    <row r="629" spans="1:9" ht="15.75" customHeight="1" x14ac:dyDescent="0.25">
      <c r="A629" s="193" t="s">
        <v>289</v>
      </c>
      <c r="B629" s="346">
        <v>906</v>
      </c>
      <c r="C629" s="347" t="s">
        <v>279</v>
      </c>
      <c r="D629" s="347" t="s">
        <v>133</v>
      </c>
      <c r="E629" s="347" t="s">
        <v>1012</v>
      </c>
      <c r="F629" s="347" t="s">
        <v>290</v>
      </c>
      <c r="G629" s="321">
        <f>2500+350+188.9-49</f>
        <v>2989.9</v>
      </c>
      <c r="H629" s="321">
        <v>2698.9312</v>
      </c>
      <c r="I629" s="321">
        <f t="shared" si="303"/>
        <v>90.268276530987663</v>
      </c>
    </row>
    <row r="630" spans="1:9" ht="50.25" customHeight="1" x14ac:dyDescent="0.25">
      <c r="A630" s="60" t="s">
        <v>786</v>
      </c>
      <c r="B630" s="346">
        <v>906</v>
      </c>
      <c r="C630" s="347" t="s">
        <v>279</v>
      </c>
      <c r="D630" s="347" t="s">
        <v>133</v>
      </c>
      <c r="E630" s="347" t="s">
        <v>1013</v>
      </c>
      <c r="F630" s="347"/>
      <c r="G630" s="321">
        <f>G631</f>
        <v>1062.21</v>
      </c>
      <c r="H630" s="321">
        <f t="shared" ref="H630:H631" si="324">H631</f>
        <v>998.25783999999999</v>
      </c>
      <c r="I630" s="321">
        <f t="shared" si="303"/>
        <v>93.979329887686987</v>
      </c>
    </row>
    <row r="631" spans="1:9" ht="31.5" x14ac:dyDescent="0.25">
      <c r="A631" s="323" t="s">
        <v>287</v>
      </c>
      <c r="B631" s="346">
        <v>906</v>
      </c>
      <c r="C631" s="347" t="s">
        <v>279</v>
      </c>
      <c r="D631" s="347" t="s">
        <v>133</v>
      </c>
      <c r="E631" s="347" t="s">
        <v>1013</v>
      </c>
      <c r="F631" s="347" t="s">
        <v>288</v>
      </c>
      <c r="G631" s="321">
        <f>G632</f>
        <v>1062.21</v>
      </c>
      <c r="H631" s="321">
        <f t="shared" si="324"/>
        <v>998.25783999999999</v>
      </c>
      <c r="I631" s="321">
        <f t="shared" si="303"/>
        <v>93.979329887686987</v>
      </c>
    </row>
    <row r="632" spans="1:9" ht="15.75" x14ac:dyDescent="0.25">
      <c r="A632" s="193" t="s">
        <v>289</v>
      </c>
      <c r="B632" s="346">
        <v>906</v>
      </c>
      <c r="C632" s="347" t="s">
        <v>279</v>
      </c>
      <c r="D632" s="347" t="s">
        <v>133</v>
      </c>
      <c r="E632" s="347" t="s">
        <v>1013</v>
      </c>
      <c r="F632" s="347" t="s">
        <v>290</v>
      </c>
      <c r="G632" s="321">
        <f>1760-500-246.79+37.3+11.7</f>
        <v>1062.21</v>
      </c>
      <c r="H632" s="321">
        <v>998.25783999999999</v>
      </c>
      <c r="I632" s="321">
        <f t="shared" si="303"/>
        <v>93.979329887686987</v>
      </c>
    </row>
    <row r="633" spans="1:9" s="211" customFormat="1" ht="63" x14ac:dyDescent="0.25">
      <c r="A633" s="318" t="s">
        <v>1014</v>
      </c>
      <c r="B633" s="315">
        <v>906</v>
      </c>
      <c r="C633" s="319" t="s">
        <v>279</v>
      </c>
      <c r="D633" s="319" t="s">
        <v>133</v>
      </c>
      <c r="E633" s="319" t="s">
        <v>1015</v>
      </c>
      <c r="F633" s="319"/>
      <c r="G633" s="317">
        <f>G634+G637</f>
        <v>291.10000000000002</v>
      </c>
      <c r="H633" s="317">
        <f t="shared" ref="H633" si="325">H634+H637</f>
        <v>15.21616</v>
      </c>
      <c r="I633" s="317">
        <f t="shared" si="303"/>
        <v>5.2271246994160077</v>
      </c>
    </row>
    <row r="634" spans="1:9" ht="108.75" customHeight="1" x14ac:dyDescent="0.25">
      <c r="A634" s="349" t="s">
        <v>1456</v>
      </c>
      <c r="B634" s="346">
        <v>906</v>
      </c>
      <c r="C634" s="347" t="s">
        <v>279</v>
      </c>
      <c r="D634" s="347" t="s">
        <v>133</v>
      </c>
      <c r="E634" s="347" t="s">
        <v>1016</v>
      </c>
      <c r="F634" s="347"/>
      <c r="G634" s="321">
        <f>G635</f>
        <v>124.4</v>
      </c>
      <c r="H634" s="321">
        <f t="shared" ref="H634:H635" si="326">H635</f>
        <v>0</v>
      </c>
      <c r="I634" s="321">
        <f t="shared" si="303"/>
        <v>0</v>
      </c>
    </row>
    <row r="635" spans="1:9" ht="31.5" x14ac:dyDescent="0.25">
      <c r="A635" s="323" t="s">
        <v>287</v>
      </c>
      <c r="B635" s="346">
        <v>906</v>
      </c>
      <c r="C635" s="347" t="s">
        <v>279</v>
      </c>
      <c r="D635" s="347" t="s">
        <v>133</v>
      </c>
      <c r="E635" s="347" t="s">
        <v>1016</v>
      </c>
      <c r="F635" s="347" t="s">
        <v>288</v>
      </c>
      <c r="G635" s="321">
        <f>G636</f>
        <v>124.4</v>
      </c>
      <c r="H635" s="321">
        <f t="shared" si="326"/>
        <v>0</v>
      </c>
      <c r="I635" s="321">
        <f t="shared" si="303"/>
        <v>0</v>
      </c>
    </row>
    <row r="636" spans="1:9" ht="18.75" customHeight="1" x14ac:dyDescent="0.25">
      <c r="A636" s="193" t="s">
        <v>289</v>
      </c>
      <c r="B636" s="346">
        <v>906</v>
      </c>
      <c r="C636" s="347" t="s">
        <v>279</v>
      </c>
      <c r="D636" s="347" t="s">
        <v>133</v>
      </c>
      <c r="E636" s="347" t="s">
        <v>1016</v>
      </c>
      <c r="F636" s="347" t="s">
        <v>290</v>
      </c>
      <c r="G636" s="321">
        <v>124.4</v>
      </c>
      <c r="H636" s="321">
        <v>0</v>
      </c>
      <c r="I636" s="321">
        <f t="shared" si="303"/>
        <v>0</v>
      </c>
    </row>
    <row r="637" spans="1:9" s="211" customFormat="1" ht="117.75" customHeight="1" x14ac:dyDescent="0.25">
      <c r="A637" s="349" t="s">
        <v>438</v>
      </c>
      <c r="B637" s="346">
        <v>906</v>
      </c>
      <c r="C637" s="347" t="s">
        <v>279</v>
      </c>
      <c r="D637" s="347" t="s">
        <v>133</v>
      </c>
      <c r="E637" s="347" t="s">
        <v>1017</v>
      </c>
      <c r="F637" s="347"/>
      <c r="G637" s="321">
        <f>G638</f>
        <v>166.7</v>
      </c>
      <c r="H637" s="321">
        <f t="shared" ref="H637:H638" si="327">H638</f>
        <v>15.21616</v>
      </c>
      <c r="I637" s="321">
        <f t="shared" si="303"/>
        <v>9.1278704259148178</v>
      </c>
    </row>
    <row r="638" spans="1:9" s="211" customFormat="1" ht="32.25" customHeight="1" x14ac:dyDescent="0.25">
      <c r="A638" s="349" t="s">
        <v>287</v>
      </c>
      <c r="B638" s="346">
        <v>906</v>
      </c>
      <c r="C638" s="347" t="s">
        <v>279</v>
      </c>
      <c r="D638" s="347" t="s">
        <v>133</v>
      </c>
      <c r="E638" s="347" t="s">
        <v>1017</v>
      </c>
      <c r="F638" s="347" t="s">
        <v>288</v>
      </c>
      <c r="G638" s="321">
        <f>G639</f>
        <v>166.7</v>
      </c>
      <c r="H638" s="321">
        <f t="shared" si="327"/>
        <v>15.21616</v>
      </c>
      <c r="I638" s="321">
        <f t="shared" si="303"/>
        <v>9.1278704259148178</v>
      </c>
    </row>
    <row r="639" spans="1:9" s="211" customFormat="1" ht="18.75" customHeight="1" x14ac:dyDescent="0.25">
      <c r="A639" s="349" t="s">
        <v>289</v>
      </c>
      <c r="B639" s="346">
        <v>906</v>
      </c>
      <c r="C639" s="347" t="s">
        <v>279</v>
      </c>
      <c r="D639" s="347" t="s">
        <v>133</v>
      </c>
      <c r="E639" s="347" t="s">
        <v>1017</v>
      </c>
      <c r="F639" s="347" t="s">
        <v>290</v>
      </c>
      <c r="G639" s="321">
        <v>166.7</v>
      </c>
      <c r="H639" s="321">
        <v>15.21616</v>
      </c>
      <c r="I639" s="321">
        <f t="shared" si="303"/>
        <v>9.1278704259148178</v>
      </c>
    </row>
    <row r="640" spans="1:9" s="211" customFormat="1" ht="84.2" customHeight="1" x14ac:dyDescent="0.25">
      <c r="A640" s="318" t="s">
        <v>1528</v>
      </c>
      <c r="B640" s="315">
        <v>906</v>
      </c>
      <c r="C640" s="319" t="s">
        <v>279</v>
      </c>
      <c r="D640" s="319" t="s">
        <v>133</v>
      </c>
      <c r="E640" s="319" t="s">
        <v>1391</v>
      </c>
      <c r="F640" s="319"/>
      <c r="G640" s="317">
        <f>G641+G644</f>
        <v>1737.8999999999999</v>
      </c>
      <c r="H640" s="317">
        <f t="shared" ref="H640" si="328">H641+H644</f>
        <v>343.76949999999999</v>
      </c>
      <c r="I640" s="317">
        <f t="shared" si="303"/>
        <v>19.780741124345475</v>
      </c>
    </row>
    <row r="641" spans="1:9" s="211" customFormat="1" ht="79.5" customHeight="1" x14ac:dyDescent="0.25">
      <c r="A641" s="151" t="s">
        <v>1526</v>
      </c>
      <c r="B641" s="346">
        <v>906</v>
      </c>
      <c r="C641" s="347" t="s">
        <v>279</v>
      </c>
      <c r="D641" s="347" t="s">
        <v>133</v>
      </c>
      <c r="E641" s="347" t="s">
        <v>1395</v>
      </c>
      <c r="F641" s="347"/>
      <c r="G641" s="321">
        <f>G642</f>
        <v>71.3</v>
      </c>
      <c r="H641" s="321">
        <f t="shared" ref="H641:H642" si="329">H642</f>
        <v>0</v>
      </c>
      <c r="I641" s="321">
        <f t="shared" si="303"/>
        <v>0</v>
      </c>
    </row>
    <row r="642" spans="1:9" s="211" customFormat="1" ht="35.450000000000003" customHeight="1" x14ac:dyDescent="0.25">
      <c r="A642" s="349" t="s">
        <v>287</v>
      </c>
      <c r="B642" s="346">
        <v>906</v>
      </c>
      <c r="C642" s="347" t="s">
        <v>279</v>
      </c>
      <c r="D642" s="347" t="s">
        <v>133</v>
      </c>
      <c r="E642" s="347" t="s">
        <v>1395</v>
      </c>
      <c r="F642" s="347" t="s">
        <v>288</v>
      </c>
      <c r="G642" s="321">
        <f>G643</f>
        <v>71.3</v>
      </c>
      <c r="H642" s="321">
        <f t="shared" si="329"/>
        <v>0</v>
      </c>
      <c r="I642" s="321">
        <f t="shared" si="303"/>
        <v>0</v>
      </c>
    </row>
    <row r="643" spans="1:9" s="211" customFormat="1" ht="18.75" customHeight="1" x14ac:dyDescent="0.25">
      <c r="A643" s="349" t="s">
        <v>289</v>
      </c>
      <c r="B643" s="346">
        <v>906</v>
      </c>
      <c r="C643" s="347" t="s">
        <v>279</v>
      </c>
      <c r="D643" s="347" t="s">
        <v>133</v>
      </c>
      <c r="E643" s="347" t="s">
        <v>1395</v>
      </c>
      <c r="F643" s="347" t="s">
        <v>290</v>
      </c>
      <c r="G643" s="321">
        <v>71.3</v>
      </c>
      <c r="H643" s="321">
        <v>0</v>
      </c>
      <c r="I643" s="321">
        <f t="shared" si="303"/>
        <v>0</v>
      </c>
    </row>
    <row r="644" spans="1:9" s="211" customFormat="1" ht="82.5" customHeight="1" x14ac:dyDescent="0.25">
      <c r="A644" s="151" t="s">
        <v>1392</v>
      </c>
      <c r="B644" s="346">
        <v>906</v>
      </c>
      <c r="C644" s="347" t="s">
        <v>279</v>
      </c>
      <c r="D644" s="347" t="s">
        <v>133</v>
      </c>
      <c r="E644" s="347" t="s">
        <v>1394</v>
      </c>
      <c r="F644" s="347"/>
      <c r="G644" s="321">
        <f>G645</f>
        <v>1666.6</v>
      </c>
      <c r="H644" s="321">
        <f t="shared" ref="H644:H645" si="330">H645</f>
        <v>343.76949999999999</v>
      </c>
      <c r="I644" s="321">
        <f t="shared" si="303"/>
        <v>20.626995079803194</v>
      </c>
    </row>
    <row r="645" spans="1:9" s="211" customFormat="1" ht="36.75" customHeight="1" x14ac:dyDescent="0.25">
      <c r="A645" s="349" t="s">
        <v>287</v>
      </c>
      <c r="B645" s="346">
        <v>906</v>
      </c>
      <c r="C645" s="347" t="s">
        <v>279</v>
      </c>
      <c r="D645" s="347" t="s">
        <v>133</v>
      </c>
      <c r="E645" s="347" t="s">
        <v>1394</v>
      </c>
      <c r="F645" s="347" t="s">
        <v>288</v>
      </c>
      <c r="G645" s="321">
        <f>G646</f>
        <v>1666.6</v>
      </c>
      <c r="H645" s="321">
        <f t="shared" si="330"/>
        <v>343.76949999999999</v>
      </c>
      <c r="I645" s="321">
        <f t="shared" si="303"/>
        <v>20.626995079803194</v>
      </c>
    </row>
    <row r="646" spans="1:9" s="211" customFormat="1" ht="18.75" customHeight="1" x14ac:dyDescent="0.25">
      <c r="A646" s="349" t="s">
        <v>289</v>
      </c>
      <c r="B646" s="346">
        <v>906</v>
      </c>
      <c r="C646" s="347" t="s">
        <v>279</v>
      </c>
      <c r="D646" s="347" t="s">
        <v>133</v>
      </c>
      <c r="E646" s="347" t="s">
        <v>1394</v>
      </c>
      <c r="F646" s="347" t="s">
        <v>290</v>
      </c>
      <c r="G646" s="321">
        <f>1666.6</f>
        <v>1666.6</v>
      </c>
      <c r="H646" s="321">
        <v>343.76949999999999</v>
      </c>
      <c r="I646" s="321">
        <f t="shared" si="303"/>
        <v>20.626995079803194</v>
      </c>
    </row>
    <row r="647" spans="1:9" ht="43.5" hidden="1" customHeight="1" x14ac:dyDescent="0.25">
      <c r="A647" s="34" t="s">
        <v>803</v>
      </c>
      <c r="B647" s="315">
        <v>906</v>
      </c>
      <c r="C647" s="319" t="s">
        <v>279</v>
      </c>
      <c r="D647" s="319" t="s">
        <v>133</v>
      </c>
      <c r="E647" s="319" t="s">
        <v>339</v>
      </c>
      <c r="F647" s="319"/>
      <c r="G647" s="317">
        <f>G648</f>
        <v>0</v>
      </c>
      <c r="H647" s="317">
        <f t="shared" ref="H647:H650" si="331">H648</f>
        <v>0</v>
      </c>
      <c r="I647" s="321" t="e">
        <f t="shared" si="303"/>
        <v>#DIV/0!</v>
      </c>
    </row>
    <row r="648" spans="1:9" s="211" customFormat="1" ht="49.7" hidden="1" customHeight="1" x14ac:dyDescent="0.25">
      <c r="A648" s="34" t="s">
        <v>1160</v>
      </c>
      <c r="B648" s="315">
        <v>906</v>
      </c>
      <c r="C648" s="319" t="s">
        <v>279</v>
      </c>
      <c r="D648" s="319" t="s">
        <v>133</v>
      </c>
      <c r="E648" s="319" t="s">
        <v>1023</v>
      </c>
      <c r="F648" s="319"/>
      <c r="G648" s="317">
        <f>G649</f>
        <v>0</v>
      </c>
      <c r="H648" s="317">
        <f t="shared" si="331"/>
        <v>0</v>
      </c>
      <c r="I648" s="321" t="e">
        <f t="shared" si="303"/>
        <v>#DIV/0!</v>
      </c>
    </row>
    <row r="649" spans="1:9" ht="50.25" hidden="1" customHeight="1" x14ac:dyDescent="0.25">
      <c r="A649" s="31" t="s">
        <v>1272</v>
      </c>
      <c r="B649" s="346">
        <v>906</v>
      </c>
      <c r="C649" s="347" t="s">
        <v>279</v>
      </c>
      <c r="D649" s="347" t="s">
        <v>133</v>
      </c>
      <c r="E649" s="347" t="s">
        <v>1024</v>
      </c>
      <c r="F649" s="347"/>
      <c r="G649" s="321">
        <f>G650</f>
        <v>0</v>
      </c>
      <c r="H649" s="321">
        <f t="shared" si="331"/>
        <v>0</v>
      </c>
      <c r="I649" s="321" t="e">
        <f t="shared" ref="I649:I712" si="332">H649/G649*100</f>
        <v>#DIV/0!</v>
      </c>
    </row>
    <row r="650" spans="1:9" ht="42" hidden="1" customHeight="1" x14ac:dyDescent="0.25">
      <c r="A650" s="31" t="s">
        <v>287</v>
      </c>
      <c r="B650" s="346">
        <v>906</v>
      </c>
      <c r="C650" s="347" t="s">
        <v>279</v>
      </c>
      <c r="D650" s="347" t="s">
        <v>133</v>
      </c>
      <c r="E650" s="347" t="s">
        <v>1024</v>
      </c>
      <c r="F650" s="347" t="s">
        <v>288</v>
      </c>
      <c r="G650" s="321">
        <f>G651</f>
        <v>0</v>
      </c>
      <c r="H650" s="321">
        <f t="shared" si="331"/>
        <v>0</v>
      </c>
      <c r="I650" s="321" t="e">
        <f t="shared" si="332"/>
        <v>#DIV/0!</v>
      </c>
    </row>
    <row r="651" spans="1:9" ht="16.5" hidden="1" customHeight="1" x14ac:dyDescent="0.25">
      <c r="A651" s="31" t="s">
        <v>289</v>
      </c>
      <c r="B651" s="346">
        <v>906</v>
      </c>
      <c r="C651" s="347" t="s">
        <v>279</v>
      </c>
      <c r="D651" s="347" t="s">
        <v>133</v>
      </c>
      <c r="E651" s="347" t="s">
        <v>1024</v>
      </c>
      <c r="F651" s="347" t="s">
        <v>290</v>
      </c>
      <c r="G651" s="321">
        <v>0</v>
      </c>
      <c r="H651" s="321">
        <v>0</v>
      </c>
      <c r="I651" s="321" t="e">
        <f t="shared" si="332"/>
        <v>#DIV/0!</v>
      </c>
    </row>
    <row r="652" spans="1:9" ht="46.5" customHeight="1" x14ac:dyDescent="0.25">
      <c r="A652" s="41" t="s">
        <v>1364</v>
      </c>
      <c r="B652" s="315">
        <v>906</v>
      </c>
      <c r="C652" s="319" t="s">
        <v>279</v>
      </c>
      <c r="D652" s="319" t="s">
        <v>133</v>
      </c>
      <c r="E652" s="319" t="s">
        <v>726</v>
      </c>
      <c r="F652" s="228"/>
      <c r="G652" s="317">
        <f>G654</f>
        <v>558.29999999999995</v>
      </c>
      <c r="H652" s="317">
        <f t="shared" ref="H652" si="333">H654</f>
        <v>548.05560000000003</v>
      </c>
      <c r="I652" s="317">
        <f t="shared" si="332"/>
        <v>98.165072541644292</v>
      </c>
    </row>
    <row r="653" spans="1:9" s="211" customFormat="1" ht="46.5" customHeight="1" x14ac:dyDescent="0.25">
      <c r="A653" s="41" t="s">
        <v>947</v>
      </c>
      <c r="B653" s="315">
        <v>906</v>
      </c>
      <c r="C653" s="319" t="s">
        <v>279</v>
      </c>
      <c r="D653" s="319" t="s">
        <v>133</v>
      </c>
      <c r="E653" s="319" t="s">
        <v>945</v>
      </c>
      <c r="F653" s="228"/>
      <c r="G653" s="317">
        <f>G654</f>
        <v>558.29999999999995</v>
      </c>
      <c r="H653" s="317">
        <f t="shared" ref="H653:H655" si="334">H654</f>
        <v>548.05560000000003</v>
      </c>
      <c r="I653" s="317">
        <f t="shared" si="332"/>
        <v>98.165072541644292</v>
      </c>
    </row>
    <row r="654" spans="1:9" ht="36" customHeight="1" x14ac:dyDescent="0.25">
      <c r="A654" s="99" t="s">
        <v>801</v>
      </c>
      <c r="B654" s="346">
        <v>906</v>
      </c>
      <c r="C654" s="347" t="s">
        <v>279</v>
      </c>
      <c r="D654" s="347" t="s">
        <v>133</v>
      </c>
      <c r="E654" s="347" t="s">
        <v>1025</v>
      </c>
      <c r="F654" s="32"/>
      <c r="G654" s="321">
        <f>G655</f>
        <v>558.29999999999995</v>
      </c>
      <c r="H654" s="321">
        <f t="shared" si="334"/>
        <v>548.05560000000003</v>
      </c>
      <c r="I654" s="321">
        <f t="shared" si="332"/>
        <v>98.165072541644292</v>
      </c>
    </row>
    <row r="655" spans="1:9" ht="35.450000000000003" customHeight="1" x14ac:dyDescent="0.25">
      <c r="A655" s="323" t="s">
        <v>287</v>
      </c>
      <c r="B655" s="346">
        <v>906</v>
      </c>
      <c r="C655" s="347" t="s">
        <v>279</v>
      </c>
      <c r="D655" s="347" t="s">
        <v>133</v>
      </c>
      <c r="E655" s="347" t="s">
        <v>1025</v>
      </c>
      <c r="F655" s="32" t="s">
        <v>288</v>
      </c>
      <c r="G655" s="321">
        <f>G656</f>
        <v>558.29999999999995</v>
      </c>
      <c r="H655" s="321">
        <f t="shared" si="334"/>
        <v>548.05560000000003</v>
      </c>
      <c r="I655" s="321">
        <f t="shared" si="332"/>
        <v>98.165072541644292</v>
      </c>
    </row>
    <row r="656" spans="1:9" ht="15.75" customHeight="1" x14ac:dyDescent="0.25">
      <c r="A656" s="193" t="s">
        <v>289</v>
      </c>
      <c r="B656" s="346">
        <v>906</v>
      </c>
      <c r="C656" s="347" t="s">
        <v>279</v>
      </c>
      <c r="D656" s="347" t="s">
        <v>133</v>
      </c>
      <c r="E656" s="347" t="s">
        <v>1025</v>
      </c>
      <c r="F656" s="32" t="s">
        <v>290</v>
      </c>
      <c r="G656" s="321">
        <f>464.3+45+49</f>
        <v>558.29999999999995</v>
      </c>
      <c r="H656" s="321">
        <v>548.05560000000003</v>
      </c>
      <c r="I656" s="321">
        <f t="shared" si="332"/>
        <v>98.165072541644292</v>
      </c>
    </row>
    <row r="657" spans="1:9" ht="15.75" x14ac:dyDescent="0.25">
      <c r="A657" s="318" t="s">
        <v>440</v>
      </c>
      <c r="B657" s="315">
        <v>906</v>
      </c>
      <c r="C657" s="319" t="s">
        <v>279</v>
      </c>
      <c r="D657" s="319" t="s">
        <v>228</v>
      </c>
      <c r="E657" s="319"/>
      <c r="F657" s="319"/>
      <c r="G657" s="317">
        <f>G658+G762+G767</f>
        <v>183991.18700000001</v>
      </c>
      <c r="H657" s="317">
        <f t="shared" ref="H657" si="335">H658+H762+H767</f>
        <v>174477.16777999999</v>
      </c>
      <c r="I657" s="317">
        <f t="shared" si="332"/>
        <v>94.82908971069358</v>
      </c>
    </row>
    <row r="658" spans="1:9" ht="50.25" customHeight="1" x14ac:dyDescent="0.25">
      <c r="A658" s="318" t="s">
        <v>441</v>
      </c>
      <c r="B658" s="315">
        <v>906</v>
      </c>
      <c r="C658" s="319" t="s">
        <v>279</v>
      </c>
      <c r="D658" s="319" t="s">
        <v>228</v>
      </c>
      <c r="E658" s="319" t="s">
        <v>421</v>
      </c>
      <c r="F658" s="319"/>
      <c r="G658" s="317">
        <f>G659+G692</f>
        <v>183041.92000000001</v>
      </c>
      <c r="H658" s="317">
        <f t="shared" ref="H658" si="336">H659+H692</f>
        <v>173537.34677999999</v>
      </c>
      <c r="I658" s="317">
        <f t="shared" si="332"/>
        <v>94.807433608650953</v>
      </c>
    </row>
    <row r="659" spans="1:9" ht="37.5" customHeight="1" x14ac:dyDescent="0.25">
      <c r="A659" s="318" t="s">
        <v>422</v>
      </c>
      <c r="B659" s="315">
        <v>906</v>
      </c>
      <c r="C659" s="319" t="s">
        <v>279</v>
      </c>
      <c r="D659" s="319" t="s">
        <v>228</v>
      </c>
      <c r="E659" s="319" t="s">
        <v>423</v>
      </c>
      <c r="F659" s="319"/>
      <c r="G659" s="317">
        <f>G660+G670</f>
        <v>166652.15300000002</v>
      </c>
      <c r="H659" s="317">
        <f t="shared" ref="H659" si="337">H660+H670</f>
        <v>158918.84099999999</v>
      </c>
      <c r="I659" s="317">
        <f t="shared" si="332"/>
        <v>95.359608705445268</v>
      </c>
    </row>
    <row r="660" spans="1:9" s="211" customFormat="1" ht="37.5" customHeight="1" x14ac:dyDescent="0.25">
      <c r="A660" s="318" t="s">
        <v>1026</v>
      </c>
      <c r="B660" s="315">
        <v>906</v>
      </c>
      <c r="C660" s="319" t="s">
        <v>279</v>
      </c>
      <c r="D660" s="319" t="s">
        <v>228</v>
      </c>
      <c r="E660" s="319" t="s">
        <v>1004</v>
      </c>
      <c r="F660" s="319"/>
      <c r="G660" s="317">
        <f>G661+G664+G667</f>
        <v>27051.48157</v>
      </c>
      <c r="H660" s="317">
        <f t="shared" ref="H660" si="338">H661+H664+H667</f>
        <v>27030.673999999999</v>
      </c>
      <c r="I660" s="317">
        <f t="shared" si="332"/>
        <v>99.923081588170476</v>
      </c>
    </row>
    <row r="661" spans="1:9" ht="47.25" x14ac:dyDescent="0.25">
      <c r="A661" s="349" t="s">
        <v>1450</v>
      </c>
      <c r="B661" s="346">
        <v>906</v>
      </c>
      <c r="C661" s="347" t="s">
        <v>279</v>
      </c>
      <c r="D661" s="347" t="s">
        <v>228</v>
      </c>
      <c r="E661" s="347" t="s">
        <v>1063</v>
      </c>
      <c r="F661" s="347"/>
      <c r="G661" s="321">
        <f>G662</f>
        <v>9301.4285700000019</v>
      </c>
      <c r="H661" s="321">
        <f t="shared" ref="H661:H662" si="339">H662</f>
        <v>9287.3289999999997</v>
      </c>
      <c r="I661" s="321">
        <f t="shared" si="332"/>
        <v>99.848415005352209</v>
      </c>
    </row>
    <row r="662" spans="1:9" ht="32.25" customHeight="1" x14ac:dyDescent="0.25">
      <c r="A662" s="349" t="s">
        <v>287</v>
      </c>
      <c r="B662" s="346">
        <v>906</v>
      </c>
      <c r="C662" s="347" t="s">
        <v>279</v>
      </c>
      <c r="D662" s="347" t="s">
        <v>228</v>
      </c>
      <c r="E662" s="347" t="s">
        <v>1063</v>
      </c>
      <c r="F662" s="347" t="s">
        <v>288</v>
      </c>
      <c r="G662" s="321">
        <f>G663</f>
        <v>9301.4285700000019</v>
      </c>
      <c r="H662" s="321">
        <f t="shared" si="339"/>
        <v>9287.3289999999997</v>
      </c>
      <c r="I662" s="321">
        <f t="shared" si="332"/>
        <v>99.848415005352209</v>
      </c>
    </row>
    <row r="663" spans="1:9" ht="15.75" x14ac:dyDescent="0.25">
      <c r="A663" s="349" t="s">
        <v>289</v>
      </c>
      <c r="B663" s="346">
        <v>906</v>
      </c>
      <c r="C663" s="347" t="s">
        <v>279</v>
      </c>
      <c r="D663" s="347" t="s">
        <v>228</v>
      </c>
      <c r="E663" s="347" t="s">
        <v>1063</v>
      </c>
      <c r="F663" s="347" t="s">
        <v>290</v>
      </c>
      <c r="G663" s="339">
        <f>29802.4+0.6-20027.6-10-464+0.02857</f>
        <v>9301.4285700000019</v>
      </c>
      <c r="H663" s="339">
        <v>9287.3289999999997</v>
      </c>
      <c r="I663" s="321">
        <f t="shared" si="332"/>
        <v>99.848415005352209</v>
      </c>
    </row>
    <row r="664" spans="1:9" s="211" customFormat="1" ht="47.25" x14ac:dyDescent="0.25">
      <c r="A664" s="349" t="s">
        <v>1451</v>
      </c>
      <c r="B664" s="346">
        <v>906</v>
      </c>
      <c r="C664" s="347" t="s">
        <v>279</v>
      </c>
      <c r="D664" s="347" t="s">
        <v>228</v>
      </c>
      <c r="E664" s="347" t="s">
        <v>1064</v>
      </c>
      <c r="F664" s="347"/>
      <c r="G664" s="321">
        <f t="shared" ref="G664:G665" si="340">G665</f>
        <v>11361.7</v>
      </c>
      <c r="H664" s="321">
        <f t="shared" ref="H664:H665" si="341">H665</f>
        <v>11355</v>
      </c>
      <c r="I664" s="321">
        <f t="shared" si="332"/>
        <v>99.941029951503737</v>
      </c>
    </row>
    <row r="665" spans="1:9" s="211" customFormat="1" ht="31.5" x14ac:dyDescent="0.25">
      <c r="A665" s="349" t="s">
        <v>287</v>
      </c>
      <c r="B665" s="346">
        <v>906</v>
      </c>
      <c r="C665" s="347" t="s">
        <v>279</v>
      </c>
      <c r="D665" s="347" t="s">
        <v>228</v>
      </c>
      <c r="E665" s="347" t="s">
        <v>1064</v>
      </c>
      <c r="F665" s="347" t="s">
        <v>288</v>
      </c>
      <c r="G665" s="321">
        <f t="shared" si="340"/>
        <v>11361.7</v>
      </c>
      <c r="H665" s="321">
        <f t="shared" si="341"/>
        <v>11355</v>
      </c>
      <c r="I665" s="321">
        <f t="shared" si="332"/>
        <v>99.941029951503737</v>
      </c>
    </row>
    <row r="666" spans="1:9" s="211" customFormat="1" ht="15.75" x14ac:dyDescent="0.25">
      <c r="A666" s="349" t="s">
        <v>289</v>
      </c>
      <c r="B666" s="346">
        <v>906</v>
      </c>
      <c r="C666" s="347" t="s">
        <v>279</v>
      </c>
      <c r="D666" s="347" t="s">
        <v>228</v>
      </c>
      <c r="E666" s="347" t="s">
        <v>1064</v>
      </c>
      <c r="F666" s="347" t="s">
        <v>290</v>
      </c>
      <c r="G666" s="339">
        <f>12351.7-990</f>
        <v>11361.7</v>
      </c>
      <c r="H666" s="339">
        <v>11355</v>
      </c>
      <c r="I666" s="321">
        <f t="shared" si="332"/>
        <v>99.941029951503737</v>
      </c>
    </row>
    <row r="667" spans="1:9" s="211" customFormat="1" ht="47.25" x14ac:dyDescent="0.25">
      <c r="A667" s="349" t="s">
        <v>1452</v>
      </c>
      <c r="B667" s="346">
        <v>906</v>
      </c>
      <c r="C667" s="347" t="s">
        <v>279</v>
      </c>
      <c r="D667" s="347" t="s">
        <v>228</v>
      </c>
      <c r="E667" s="347" t="s">
        <v>1065</v>
      </c>
      <c r="F667" s="347"/>
      <c r="G667" s="321">
        <f t="shared" ref="G667:G668" si="342">G668</f>
        <v>6388.3530000000001</v>
      </c>
      <c r="H667" s="321">
        <f t="shared" ref="H667:H668" si="343">H668</f>
        <v>6388.3450000000003</v>
      </c>
      <c r="I667" s="321">
        <f t="shared" si="332"/>
        <v>99.999874772104803</v>
      </c>
    </row>
    <row r="668" spans="1:9" s="211" customFormat="1" ht="31.5" x14ac:dyDescent="0.25">
      <c r="A668" s="349" t="s">
        <v>287</v>
      </c>
      <c r="B668" s="346">
        <v>906</v>
      </c>
      <c r="C668" s="347" t="s">
        <v>279</v>
      </c>
      <c r="D668" s="347" t="s">
        <v>228</v>
      </c>
      <c r="E668" s="347" t="s">
        <v>1065</v>
      </c>
      <c r="F668" s="347" t="s">
        <v>288</v>
      </c>
      <c r="G668" s="321">
        <f t="shared" si="342"/>
        <v>6388.3530000000001</v>
      </c>
      <c r="H668" s="321">
        <f t="shared" si="343"/>
        <v>6388.3450000000003</v>
      </c>
      <c r="I668" s="321">
        <f t="shared" si="332"/>
        <v>99.999874772104803</v>
      </c>
    </row>
    <row r="669" spans="1:9" s="211" customFormat="1" ht="15.75" x14ac:dyDescent="0.25">
      <c r="A669" s="349" t="s">
        <v>289</v>
      </c>
      <c r="B669" s="346">
        <v>906</v>
      </c>
      <c r="C669" s="347" t="s">
        <v>279</v>
      </c>
      <c r="D669" s="347" t="s">
        <v>228</v>
      </c>
      <c r="E669" s="347" t="s">
        <v>1065</v>
      </c>
      <c r="F669" s="347" t="s">
        <v>290</v>
      </c>
      <c r="G669" s="339">
        <f>6675.9-285.147-2.4</f>
        <v>6388.3530000000001</v>
      </c>
      <c r="H669" s="339">
        <v>6388.3450000000003</v>
      </c>
      <c r="I669" s="321">
        <f t="shared" si="332"/>
        <v>99.999874772104803</v>
      </c>
    </row>
    <row r="670" spans="1:9" s="211" customFormat="1" ht="47.65" customHeight="1" x14ac:dyDescent="0.25">
      <c r="A670" s="318" t="s">
        <v>969</v>
      </c>
      <c r="B670" s="315">
        <v>906</v>
      </c>
      <c r="C670" s="319" t="s">
        <v>279</v>
      </c>
      <c r="D670" s="319" t="s">
        <v>228</v>
      </c>
      <c r="E670" s="319" t="s">
        <v>1019</v>
      </c>
      <c r="F670" s="319"/>
      <c r="G670" s="44">
        <f>G677+G680+G683+G686+G689+G674+G671</f>
        <v>139600.67143000002</v>
      </c>
      <c r="H670" s="44">
        <f t="shared" ref="H670" si="344">H677+H680+H683+H686+H689+H674+H671</f>
        <v>131888.16699999999</v>
      </c>
      <c r="I670" s="317">
        <f t="shared" si="332"/>
        <v>94.475309931537609</v>
      </c>
    </row>
    <row r="671" spans="1:9" s="213" customFormat="1" ht="49.7" customHeight="1" x14ac:dyDescent="0.25">
      <c r="A671" s="349" t="s">
        <v>1515</v>
      </c>
      <c r="B671" s="346">
        <v>906</v>
      </c>
      <c r="C671" s="347" t="s">
        <v>279</v>
      </c>
      <c r="D671" s="347" t="s">
        <v>228</v>
      </c>
      <c r="E671" s="347" t="s">
        <v>1516</v>
      </c>
      <c r="F671" s="347"/>
      <c r="G671" s="339">
        <f>G672</f>
        <v>2408.6999999999998</v>
      </c>
      <c r="H671" s="339">
        <f t="shared" ref="H671:H672" si="345">H672</f>
        <v>2064.1529999999998</v>
      </c>
      <c r="I671" s="321">
        <f t="shared" si="332"/>
        <v>85.695727986050557</v>
      </c>
    </row>
    <row r="672" spans="1:9" s="213" customFormat="1" ht="44.45" customHeight="1" x14ac:dyDescent="0.25">
      <c r="A672" s="349" t="s">
        <v>287</v>
      </c>
      <c r="B672" s="346">
        <v>906</v>
      </c>
      <c r="C672" s="347" t="s">
        <v>279</v>
      </c>
      <c r="D672" s="347" t="s">
        <v>228</v>
      </c>
      <c r="E672" s="347" t="s">
        <v>1516</v>
      </c>
      <c r="F672" s="347" t="s">
        <v>288</v>
      </c>
      <c r="G672" s="339">
        <f>G673</f>
        <v>2408.6999999999998</v>
      </c>
      <c r="H672" s="339">
        <f t="shared" si="345"/>
        <v>2064.1529999999998</v>
      </c>
      <c r="I672" s="321">
        <f t="shared" si="332"/>
        <v>85.695727986050557</v>
      </c>
    </row>
    <row r="673" spans="1:9" s="213" customFormat="1" ht="18.399999999999999" customHeight="1" x14ac:dyDescent="0.25">
      <c r="A673" s="349" t="s">
        <v>289</v>
      </c>
      <c r="B673" s="346">
        <v>906</v>
      </c>
      <c r="C673" s="347" t="s">
        <v>279</v>
      </c>
      <c r="D673" s="347" t="s">
        <v>228</v>
      </c>
      <c r="E673" s="347" t="s">
        <v>1516</v>
      </c>
      <c r="F673" s="347" t="s">
        <v>290</v>
      </c>
      <c r="G673" s="339">
        <f>1125.9+1282.8</f>
        <v>2408.6999999999998</v>
      </c>
      <c r="H673" s="339">
        <v>2064.1529999999998</v>
      </c>
      <c r="I673" s="321">
        <f t="shared" si="332"/>
        <v>85.695727986050557</v>
      </c>
    </row>
    <row r="674" spans="1:9" s="310" customFormat="1" ht="78.75" x14ac:dyDescent="0.25">
      <c r="A674" s="31" t="s">
        <v>308</v>
      </c>
      <c r="B674" s="346">
        <v>906</v>
      </c>
      <c r="C674" s="347" t="s">
        <v>279</v>
      </c>
      <c r="D674" s="347" t="s">
        <v>228</v>
      </c>
      <c r="E674" s="347" t="s">
        <v>1507</v>
      </c>
      <c r="F674" s="347"/>
      <c r="G674" s="339">
        <f>G675</f>
        <v>3394.4</v>
      </c>
      <c r="H674" s="339">
        <f t="shared" ref="H674:H675" si="346">H675</f>
        <v>3394.4</v>
      </c>
      <c r="I674" s="321">
        <f t="shared" si="332"/>
        <v>100</v>
      </c>
    </row>
    <row r="675" spans="1:9" s="310" customFormat="1" ht="31.5" x14ac:dyDescent="0.25">
      <c r="A675" s="349" t="s">
        <v>287</v>
      </c>
      <c r="B675" s="346">
        <v>906</v>
      </c>
      <c r="C675" s="347" t="s">
        <v>279</v>
      </c>
      <c r="D675" s="347" t="s">
        <v>228</v>
      </c>
      <c r="E675" s="347" t="s">
        <v>1507</v>
      </c>
      <c r="F675" s="347" t="s">
        <v>288</v>
      </c>
      <c r="G675" s="339">
        <f>G676</f>
        <v>3394.4</v>
      </c>
      <c r="H675" s="339">
        <f t="shared" si="346"/>
        <v>3394.4</v>
      </c>
      <c r="I675" s="321">
        <f t="shared" si="332"/>
        <v>100</v>
      </c>
    </row>
    <row r="676" spans="1:9" s="310" customFormat="1" ht="15.75" x14ac:dyDescent="0.25">
      <c r="A676" s="349" t="s">
        <v>289</v>
      </c>
      <c r="B676" s="346">
        <v>906</v>
      </c>
      <c r="C676" s="347" t="s">
        <v>279</v>
      </c>
      <c r="D676" s="347" t="s">
        <v>228</v>
      </c>
      <c r="E676" s="347" t="s">
        <v>1507</v>
      </c>
      <c r="F676" s="347" t="s">
        <v>290</v>
      </c>
      <c r="G676" s="339">
        <f>3821-426.6</f>
        <v>3394.4</v>
      </c>
      <c r="H676" s="339">
        <v>3394.4</v>
      </c>
      <c r="I676" s="321">
        <f t="shared" si="332"/>
        <v>100</v>
      </c>
    </row>
    <row r="677" spans="1:9" s="211" customFormat="1" ht="63" x14ac:dyDescent="0.25">
      <c r="A677" s="31" t="s">
        <v>475</v>
      </c>
      <c r="B677" s="346">
        <v>906</v>
      </c>
      <c r="C677" s="347" t="s">
        <v>279</v>
      </c>
      <c r="D677" s="347" t="s">
        <v>228</v>
      </c>
      <c r="E677" s="347" t="s">
        <v>1047</v>
      </c>
      <c r="F677" s="347"/>
      <c r="G677" s="321">
        <f>G678</f>
        <v>128341.87143</v>
      </c>
      <c r="H677" s="321">
        <f t="shared" ref="H677:H678" si="347">H678</f>
        <v>122091.401</v>
      </c>
      <c r="I677" s="321">
        <f t="shared" si="332"/>
        <v>95.129827576646235</v>
      </c>
    </row>
    <row r="678" spans="1:9" s="211" customFormat="1" ht="31.5" x14ac:dyDescent="0.25">
      <c r="A678" s="349" t="s">
        <v>287</v>
      </c>
      <c r="B678" s="346">
        <v>906</v>
      </c>
      <c r="C678" s="347" t="s">
        <v>279</v>
      </c>
      <c r="D678" s="347" t="s">
        <v>228</v>
      </c>
      <c r="E678" s="347" t="s">
        <v>1047</v>
      </c>
      <c r="F678" s="347" t="s">
        <v>288</v>
      </c>
      <c r="G678" s="321">
        <f>G679</f>
        <v>128341.87143</v>
      </c>
      <c r="H678" s="321">
        <f t="shared" si="347"/>
        <v>122091.401</v>
      </c>
      <c r="I678" s="321">
        <f t="shared" si="332"/>
        <v>95.129827576646235</v>
      </c>
    </row>
    <row r="679" spans="1:9" s="211" customFormat="1" ht="15.75" x14ac:dyDescent="0.25">
      <c r="A679" s="349" t="s">
        <v>289</v>
      </c>
      <c r="B679" s="346">
        <v>906</v>
      </c>
      <c r="C679" s="347" t="s">
        <v>279</v>
      </c>
      <c r="D679" s="347" t="s">
        <v>228</v>
      </c>
      <c r="E679" s="347" t="s">
        <v>1047</v>
      </c>
      <c r="F679" s="347" t="s">
        <v>290</v>
      </c>
      <c r="G679" s="339">
        <v>128341.87143</v>
      </c>
      <c r="H679" s="339">
        <v>122091.401</v>
      </c>
      <c r="I679" s="321">
        <f t="shared" si="332"/>
        <v>95.129827576646235</v>
      </c>
    </row>
    <row r="680" spans="1:9" s="211" customFormat="1" ht="63" x14ac:dyDescent="0.25">
      <c r="A680" s="31" t="s">
        <v>304</v>
      </c>
      <c r="B680" s="346">
        <v>906</v>
      </c>
      <c r="C680" s="347" t="s">
        <v>279</v>
      </c>
      <c r="D680" s="347" t="s">
        <v>228</v>
      </c>
      <c r="E680" s="347" t="s">
        <v>1018</v>
      </c>
      <c r="F680" s="347"/>
      <c r="G680" s="321">
        <f>G681</f>
        <v>1245.5999999999999</v>
      </c>
      <c r="H680" s="321">
        <f t="shared" ref="H680:H681" si="348">H681</f>
        <v>450.61700000000002</v>
      </c>
      <c r="I680" s="321">
        <f t="shared" si="332"/>
        <v>36.17670199100835</v>
      </c>
    </row>
    <row r="681" spans="1:9" s="211" customFormat="1" ht="31.5" x14ac:dyDescent="0.25">
      <c r="A681" s="349" t="s">
        <v>287</v>
      </c>
      <c r="B681" s="346">
        <v>906</v>
      </c>
      <c r="C681" s="347" t="s">
        <v>279</v>
      </c>
      <c r="D681" s="347" t="s">
        <v>228</v>
      </c>
      <c r="E681" s="347" t="s">
        <v>1018</v>
      </c>
      <c r="F681" s="347" t="s">
        <v>288</v>
      </c>
      <c r="G681" s="321">
        <f>G682</f>
        <v>1245.5999999999999</v>
      </c>
      <c r="H681" s="321">
        <f t="shared" si="348"/>
        <v>450.61700000000002</v>
      </c>
      <c r="I681" s="321">
        <f t="shared" si="332"/>
        <v>36.17670199100835</v>
      </c>
    </row>
    <row r="682" spans="1:9" s="211" customFormat="1" ht="15.75" x14ac:dyDescent="0.25">
      <c r="A682" s="349" t="s">
        <v>289</v>
      </c>
      <c r="B682" s="346">
        <v>906</v>
      </c>
      <c r="C682" s="347" t="s">
        <v>279</v>
      </c>
      <c r="D682" s="347" t="s">
        <v>228</v>
      </c>
      <c r="E682" s="347" t="s">
        <v>1018</v>
      </c>
      <c r="F682" s="347" t="s">
        <v>290</v>
      </c>
      <c r="G682" s="339">
        <f>1245.61-0.01</f>
        <v>1245.5999999999999</v>
      </c>
      <c r="H682" s="339">
        <v>450.61700000000002</v>
      </c>
      <c r="I682" s="321">
        <f t="shared" si="332"/>
        <v>36.17670199100835</v>
      </c>
    </row>
    <row r="683" spans="1:9" s="211" customFormat="1" ht="63" x14ac:dyDescent="0.25">
      <c r="A683" s="31" t="s">
        <v>306</v>
      </c>
      <c r="B683" s="346">
        <v>906</v>
      </c>
      <c r="C683" s="347" t="s">
        <v>279</v>
      </c>
      <c r="D683" s="347" t="s">
        <v>228</v>
      </c>
      <c r="E683" s="347" t="s">
        <v>1021</v>
      </c>
      <c r="F683" s="347"/>
      <c r="G683" s="321">
        <f>G684</f>
        <v>2266.6999999999998</v>
      </c>
      <c r="H683" s="321">
        <f t="shared" ref="H683:H684" si="349">H684</f>
        <v>2069.6</v>
      </c>
      <c r="I683" s="321">
        <f t="shared" si="332"/>
        <v>91.304539639122964</v>
      </c>
    </row>
    <row r="684" spans="1:9" s="211" customFormat="1" ht="31.5" x14ac:dyDescent="0.25">
      <c r="A684" s="349" t="s">
        <v>287</v>
      </c>
      <c r="B684" s="346">
        <v>906</v>
      </c>
      <c r="C684" s="347" t="s">
        <v>279</v>
      </c>
      <c r="D684" s="347" t="s">
        <v>228</v>
      </c>
      <c r="E684" s="347" t="s">
        <v>1021</v>
      </c>
      <c r="F684" s="347" t="s">
        <v>288</v>
      </c>
      <c r="G684" s="321">
        <f>G685</f>
        <v>2266.6999999999998</v>
      </c>
      <c r="H684" s="321">
        <f t="shared" si="349"/>
        <v>2069.6</v>
      </c>
      <c r="I684" s="321">
        <f t="shared" si="332"/>
        <v>91.304539639122964</v>
      </c>
    </row>
    <row r="685" spans="1:9" s="211" customFormat="1" ht="15.75" x14ac:dyDescent="0.25">
      <c r="A685" s="349" t="s">
        <v>289</v>
      </c>
      <c r="B685" s="346">
        <v>906</v>
      </c>
      <c r="C685" s="347" t="s">
        <v>279</v>
      </c>
      <c r="D685" s="347" t="s">
        <v>228</v>
      </c>
      <c r="E685" s="347" t="s">
        <v>1021</v>
      </c>
      <c r="F685" s="347" t="s">
        <v>290</v>
      </c>
      <c r="G685" s="339">
        <f>2266.72-0.02</f>
        <v>2266.6999999999998</v>
      </c>
      <c r="H685" s="339">
        <v>2069.6</v>
      </c>
      <c r="I685" s="321">
        <f t="shared" si="332"/>
        <v>91.304539639122964</v>
      </c>
    </row>
    <row r="686" spans="1:9" s="211" customFormat="1" ht="47.25" x14ac:dyDescent="0.25">
      <c r="A686" s="31" t="s">
        <v>477</v>
      </c>
      <c r="B686" s="346">
        <v>906</v>
      </c>
      <c r="C686" s="347" t="s">
        <v>279</v>
      </c>
      <c r="D686" s="347" t="s">
        <v>228</v>
      </c>
      <c r="E686" s="347" t="s">
        <v>1048</v>
      </c>
      <c r="F686" s="347"/>
      <c r="G686" s="321">
        <f>G687</f>
        <v>923.4</v>
      </c>
      <c r="H686" s="321">
        <f t="shared" ref="H686:H687" si="350">H687</f>
        <v>797.99599999999998</v>
      </c>
      <c r="I686" s="321">
        <f t="shared" si="332"/>
        <v>86.419319904700018</v>
      </c>
    </row>
    <row r="687" spans="1:9" s="211" customFormat="1" ht="31.5" x14ac:dyDescent="0.25">
      <c r="A687" s="349" t="s">
        <v>287</v>
      </c>
      <c r="B687" s="346">
        <v>906</v>
      </c>
      <c r="C687" s="347" t="s">
        <v>279</v>
      </c>
      <c r="D687" s="347" t="s">
        <v>228</v>
      </c>
      <c r="E687" s="347" t="s">
        <v>1048</v>
      </c>
      <c r="F687" s="347" t="s">
        <v>288</v>
      </c>
      <c r="G687" s="321">
        <f>G688</f>
        <v>923.4</v>
      </c>
      <c r="H687" s="321">
        <f t="shared" si="350"/>
        <v>797.99599999999998</v>
      </c>
      <c r="I687" s="321">
        <f t="shared" si="332"/>
        <v>86.419319904700018</v>
      </c>
    </row>
    <row r="688" spans="1:9" s="211" customFormat="1" ht="15.75" x14ac:dyDescent="0.25">
      <c r="A688" s="349" t="s">
        <v>289</v>
      </c>
      <c r="B688" s="346">
        <v>906</v>
      </c>
      <c r="C688" s="347" t="s">
        <v>279</v>
      </c>
      <c r="D688" s="347" t="s">
        <v>228</v>
      </c>
      <c r="E688" s="347" t="s">
        <v>1048</v>
      </c>
      <c r="F688" s="347" t="s">
        <v>290</v>
      </c>
      <c r="G688" s="339">
        <v>923.4</v>
      </c>
      <c r="H688" s="339">
        <v>797.99599999999998</v>
      </c>
      <c r="I688" s="321">
        <f t="shared" si="332"/>
        <v>86.419319904700018</v>
      </c>
    </row>
    <row r="689" spans="1:9" s="211" customFormat="1" ht="78.75" x14ac:dyDescent="0.25">
      <c r="A689" s="31" t="s">
        <v>308</v>
      </c>
      <c r="B689" s="346">
        <v>906</v>
      </c>
      <c r="C689" s="347" t="s">
        <v>279</v>
      </c>
      <c r="D689" s="347" t="s">
        <v>228</v>
      </c>
      <c r="E689" s="347" t="s">
        <v>1022</v>
      </c>
      <c r="F689" s="347"/>
      <c r="G689" s="321">
        <f>G690</f>
        <v>1019.9999999999991</v>
      </c>
      <c r="H689" s="321">
        <f t="shared" ref="H689:H690" si="351">H690</f>
        <v>1020</v>
      </c>
      <c r="I689" s="321">
        <f t="shared" si="332"/>
        <v>100.00000000000009</v>
      </c>
    </row>
    <row r="690" spans="1:9" s="211" customFormat="1" ht="31.5" x14ac:dyDescent="0.25">
      <c r="A690" s="349" t="s">
        <v>287</v>
      </c>
      <c r="B690" s="346">
        <v>906</v>
      </c>
      <c r="C690" s="347" t="s">
        <v>279</v>
      </c>
      <c r="D690" s="347" t="s">
        <v>228</v>
      </c>
      <c r="E690" s="347" t="s">
        <v>1022</v>
      </c>
      <c r="F690" s="347" t="s">
        <v>288</v>
      </c>
      <c r="G690" s="321">
        <f>G691</f>
        <v>1019.9999999999991</v>
      </c>
      <c r="H690" s="321">
        <f t="shared" si="351"/>
        <v>1020</v>
      </c>
      <c r="I690" s="321">
        <f t="shared" si="332"/>
        <v>100.00000000000009</v>
      </c>
    </row>
    <row r="691" spans="1:9" s="211" customFormat="1" ht="15.75" x14ac:dyDescent="0.25">
      <c r="A691" s="349" t="s">
        <v>289</v>
      </c>
      <c r="B691" s="346">
        <v>906</v>
      </c>
      <c r="C691" s="347" t="s">
        <v>279</v>
      </c>
      <c r="D691" s="347" t="s">
        <v>228</v>
      </c>
      <c r="E691" s="347" t="s">
        <v>1022</v>
      </c>
      <c r="F691" s="347" t="s">
        <v>290</v>
      </c>
      <c r="G691" s="339">
        <f>5020.23-179.18-0.05-3821</f>
        <v>1019.9999999999991</v>
      </c>
      <c r="H691" s="339">
        <v>1020</v>
      </c>
      <c r="I691" s="321">
        <f t="shared" si="332"/>
        <v>100.00000000000009</v>
      </c>
    </row>
    <row r="692" spans="1:9" ht="36" customHeight="1" x14ac:dyDescent="0.25">
      <c r="A692" s="263" t="s">
        <v>445</v>
      </c>
      <c r="B692" s="315">
        <v>906</v>
      </c>
      <c r="C692" s="319" t="s">
        <v>279</v>
      </c>
      <c r="D692" s="319" t="s">
        <v>228</v>
      </c>
      <c r="E692" s="319" t="s">
        <v>446</v>
      </c>
      <c r="F692" s="319"/>
      <c r="G692" s="317">
        <f>G693+G706+G713+G720+G727+G755+G734+G741+G748</f>
        <v>16389.767</v>
      </c>
      <c r="H692" s="317">
        <f t="shared" ref="H692" si="352">H693+H706+H713+H720+H727+H755+H734+H741+H748</f>
        <v>14618.50578</v>
      </c>
      <c r="I692" s="317">
        <f t="shared" si="332"/>
        <v>89.192883461979662</v>
      </c>
    </row>
    <row r="693" spans="1:9" s="211" customFormat="1" ht="35.450000000000003" customHeight="1" x14ac:dyDescent="0.25">
      <c r="A693" s="318" t="s">
        <v>1027</v>
      </c>
      <c r="B693" s="266">
        <v>906</v>
      </c>
      <c r="C693" s="319" t="s">
        <v>279</v>
      </c>
      <c r="D693" s="319" t="s">
        <v>228</v>
      </c>
      <c r="E693" s="319" t="s">
        <v>1028</v>
      </c>
      <c r="F693" s="319"/>
      <c r="G693" s="317">
        <f>G694+G697+G700+G703</f>
        <v>2274.9139999999998</v>
      </c>
      <c r="H693" s="317">
        <f t="shared" ref="H693" si="353">H694+H697+H700+H703</f>
        <v>2219.5150000000003</v>
      </c>
      <c r="I693" s="317">
        <f t="shared" si="332"/>
        <v>97.564787064478068</v>
      </c>
    </row>
    <row r="694" spans="1:9" s="211" customFormat="1" ht="35.450000000000003" hidden="1" customHeight="1" x14ac:dyDescent="0.25">
      <c r="A694" s="349" t="s">
        <v>455</v>
      </c>
      <c r="B694" s="37">
        <v>906</v>
      </c>
      <c r="C694" s="347" t="s">
        <v>279</v>
      </c>
      <c r="D694" s="347" t="s">
        <v>228</v>
      </c>
      <c r="E694" s="347" t="s">
        <v>1032</v>
      </c>
      <c r="F694" s="347"/>
      <c r="G694" s="321">
        <f>G695</f>
        <v>0</v>
      </c>
      <c r="H694" s="321">
        <f t="shared" ref="H694:H695" si="354">H695</f>
        <v>0</v>
      </c>
      <c r="I694" s="321" t="e">
        <f t="shared" si="332"/>
        <v>#DIV/0!</v>
      </c>
    </row>
    <row r="695" spans="1:9" s="211" customFormat="1" ht="39.75" hidden="1" customHeight="1" x14ac:dyDescent="0.25">
      <c r="A695" s="349" t="s">
        <v>287</v>
      </c>
      <c r="B695" s="37">
        <v>906</v>
      </c>
      <c r="C695" s="347" t="s">
        <v>279</v>
      </c>
      <c r="D695" s="347" t="s">
        <v>228</v>
      </c>
      <c r="E695" s="347" t="s">
        <v>1032</v>
      </c>
      <c r="F695" s="347" t="s">
        <v>288</v>
      </c>
      <c r="G695" s="321">
        <f>G696</f>
        <v>0</v>
      </c>
      <c r="H695" s="321">
        <f t="shared" si="354"/>
        <v>0</v>
      </c>
      <c r="I695" s="321" t="e">
        <f t="shared" si="332"/>
        <v>#DIV/0!</v>
      </c>
    </row>
    <row r="696" spans="1:9" s="211" customFormat="1" ht="18.75" hidden="1" customHeight="1" x14ac:dyDescent="0.25">
      <c r="A696" s="349" t="s">
        <v>289</v>
      </c>
      <c r="B696" s="37">
        <v>906</v>
      </c>
      <c r="C696" s="347" t="s">
        <v>279</v>
      </c>
      <c r="D696" s="347" t="s">
        <v>228</v>
      </c>
      <c r="E696" s="347" t="s">
        <v>1032</v>
      </c>
      <c r="F696" s="347" t="s">
        <v>290</v>
      </c>
      <c r="G696" s="321">
        <v>0</v>
      </c>
      <c r="H696" s="321">
        <v>0</v>
      </c>
      <c r="I696" s="321" t="e">
        <f t="shared" si="332"/>
        <v>#DIV/0!</v>
      </c>
    </row>
    <row r="697" spans="1:9" s="211" customFormat="1" ht="41.25" customHeight="1" x14ac:dyDescent="0.25">
      <c r="A697" s="349" t="s">
        <v>293</v>
      </c>
      <c r="B697" s="37">
        <v>906</v>
      </c>
      <c r="C697" s="347" t="s">
        <v>279</v>
      </c>
      <c r="D697" s="347" t="s">
        <v>228</v>
      </c>
      <c r="E697" s="347" t="s">
        <v>1033</v>
      </c>
      <c r="F697" s="347"/>
      <c r="G697" s="321">
        <f>G698</f>
        <v>1322</v>
      </c>
      <c r="H697" s="321">
        <f t="shared" ref="H697:H698" si="355">H698</f>
        <v>1322</v>
      </c>
      <c r="I697" s="321">
        <f t="shared" si="332"/>
        <v>100</v>
      </c>
    </row>
    <row r="698" spans="1:9" s="211" customFormat="1" ht="33" customHeight="1" x14ac:dyDescent="0.25">
      <c r="A698" s="349" t="s">
        <v>287</v>
      </c>
      <c r="B698" s="37">
        <v>906</v>
      </c>
      <c r="C698" s="347" t="s">
        <v>279</v>
      </c>
      <c r="D698" s="347" t="s">
        <v>228</v>
      </c>
      <c r="E698" s="347" t="s">
        <v>1033</v>
      </c>
      <c r="F698" s="347" t="s">
        <v>288</v>
      </c>
      <c r="G698" s="321">
        <f>G699</f>
        <v>1322</v>
      </c>
      <c r="H698" s="321">
        <f t="shared" si="355"/>
        <v>1322</v>
      </c>
      <c r="I698" s="321">
        <f t="shared" si="332"/>
        <v>100</v>
      </c>
    </row>
    <row r="699" spans="1:9" s="211" customFormat="1" ht="18.75" customHeight="1" x14ac:dyDescent="0.25">
      <c r="A699" s="349" t="s">
        <v>289</v>
      </c>
      <c r="B699" s="37">
        <v>906</v>
      </c>
      <c r="C699" s="347" t="s">
        <v>279</v>
      </c>
      <c r="D699" s="347" t="s">
        <v>228</v>
      </c>
      <c r="E699" s="347" t="s">
        <v>1033</v>
      </c>
      <c r="F699" s="347" t="s">
        <v>290</v>
      </c>
      <c r="G699" s="321">
        <f>300+514+450+258-100-100</f>
        <v>1322</v>
      </c>
      <c r="H699" s="321">
        <v>1322</v>
      </c>
      <c r="I699" s="321">
        <f t="shared" si="332"/>
        <v>100</v>
      </c>
    </row>
    <row r="700" spans="1:9" s="211" customFormat="1" ht="31.7" customHeight="1" x14ac:dyDescent="0.25">
      <c r="A700" s="349" t="s">
        <v>295</v>
      </c>
      <c r="B700" s="37">
        <v>906</v>
      </c>
      <c r="C700" s="347" t="s">
        <v>279</v>
      </c>
      <c r="D700" s="347" t="s">
        <v>228</v>
      </c>
      <c r="E700" s="347" t="s">
        <v>1034</v>
      </c>
      <c r="F700" s="347"/>
      <c r="G700" s="321">
        <f>G701</f>
        <v>748.91399999999999</v>
      </c>
      <c r="H700" s="321">
        <f t="shared" ref="H700:H701" si="356">H701</f>
        <v>744.71500000000003</v>
      </c>
      <c r="I700" s="321">
        <f t="shared" si="332"/>
        <v>99.439321470823089</v>
      </c>
    </row>
    <row r="701" spans="1:9" s="211" customFormat="1" ht="29.25" customHeight="1" x14ac:dyDescent="0.25">
      <c r="A701" s="349" t="s">
        <v>287</v>
      </c>
      <c r="B701" s="37">
        <v>906</v>
      </c>
      <c r="C701" s="347" t="s">
        <v>279</v>
      </c>
      <c r="D701" s="347" t="s">
        <v>228</v>
      </c>
      <c r="E701" s="347" t="s">
        <v>1034</v>
      </c>
      <c r="F701" s="347" t="s">
        <v>288</v>
      </c>
      <c r="G701" s="321">
        <f>G702</f>
        <v>748.91399999999999</v>
      </c>
      <c r="H701" s="321">
        <f t="shared" si="356"/>
        <v>744.71500000000003</v>
      </c>
      <c r="I701" s="321">
        <f t="shared" si="332"/>
        <v>99.439321470823089</v>
      </c>
    </row>
    <row r="702" spans="1:9" s="211" customFormat="1" ht="18.75" customHeight="1" x14ac:dyDescent="0.25">
      <c r="A702" s="349" t="s">
        <v>289</v>
      </c>
      <c r="B702" s="37">
        <v>906</v>
      </c>
      <c r="C702" s="347" t="s">
        <v>279</v>
      </c>
      <c r="D702" s="347" t="s">
        <v>228</v>
      </c>
      <c r="E702" s="347" t="s">
        <v>1034</v>
      </c>
      <c r="F702" s="347" t="s">
        <v>290</v>
      </c>
      <c r="G702" s="321">
        <f>464+7+54.33+100+123.584</f>
        <v>748.91399999999999</v>
      </c>
      <c r="H702" s="321">
        <v>744.71500000000003</v>
      </c>
      <c r="I702" s="321">
        <f t="shared" si="332"/>
        <v>99.439321470823089</v>
      </c>
    </row>
    <row r="703" spans="1:9" s="211" customFormat="1" ht="36" customHeight="1" x14ac:dyDescent="0.25">
      <c r="A703" s="349" t="s">
        <v>297</v>
      </c>
      <c r="B703" s="37">
        <v>906</v>
      </c>
      <c r="C703" s="347" t="s">
        <v>279</v>
      </c>
      <c r="D703" s="347" t="s">
        <v>228</v>
      </c>
      <c r="E703" s="347" t="s">
        <v>1035</v>
      </c>
      <c r="F703" s="347"/>
      <c r="G703" s="321">
        <f>G704</f>
        <v>203.99999999999997</v>
      </c>
      <c r="H703" s="321">
        <f t="shared" ref="H703:H704" si="357">H704</f>
        <v>152.80000000000001</v>
      </c>
      <c r="I703" s="321">
        <f t="shared" si="332"/>
        <v>74.901960784313744</v>
      </c>
    </row>
    <row r="704" spans="1:9" s="211" customFormat="1" ht="39.75" customHeight="1" x14ac:dyDescent="0.25">
      <c r="A704" s="349" t="s">
        <v>287</v>
      </c>
      <c r="B704" s="37">
        <v>906</v>
      </c>
      <c r="C704" s="347" t="s">
        <v>279</v>
      </c>
      <c r="D704" s="347" t="s">
        <v>228</v>
      </c>
      <c r="E704" s="347" t="s">
        <v>1035</v>
      </c>
      <c r="F704" s="347" t="s">
        <v>288</v>
      </c>
      <c r="G704" s="321">
        <f>G705</f>
        <v>203.99999999999997</v>
      </c>
      <c r="H704" s="321">
        <f t="shared" si="357"/>
        <v>152.80000000000001</v>
      </c>
      <c r="I704" s="321">
        <f t="shared" si="332"/>
        <v>74.901960784313744</v>
      </c>
    </row>
    <row r="705" spans="1:9" s="211" customFormat="1" ht="18.75" customHeight="1" x14ac:dyDescent="0.25">
      <c r="A705" s="349" t="s">
        <v>289</v>
      </c>
      <c r="B705" s="37">
        <v>906</v>
      </c>
      <c r="C705" s="347" t="s">
        <v>279</v>
      </c>
      <c r="D705" s="347" t="s">
        <v>228</v>
      </c>
      <c r="E705" s="347" t="s">
        <v>1035</v>
      </c>
      <c r="F705" s="347" t="s">
        <v>290</v>
      </c>
      <c r="G705" s="321">
        <f>127-72+72+97.2-0.2+0.7+5.1-25.8</f>
        <v>203.99999999999997</v>
      </c>
      <c r="H705" s="321">
        <v>152.80000000000001</v>
      </c>
      <c r="I705" s="321">
        <f t="shared" si="332"/>
        <v>74.901960784313744</v>
      </c>
    </row>
    <row r="706" spans="1:9" s="211" customFormat="1" ht="33" customHeight="1" x14ac:dyDescent="0.25">
      <c r="A706" s="318" t="s">
        <v>1029</v>
      </c>
      <c r="B706" s="266">
        <v>906</v>
      </c>
      <c r="C706" s="319" t="s">
        <v>279</v>
      </c>
      <c r="D706" s="319" t="s">
        <v>228</v>
      </c>
      <c r="E706" s="319" t="s">
        <v>1030</v>
      </c>
      <c r="F706" s="319"/>
      <c r="G706" s="317">
        <f>G707+G710</f>
        <v>3117.88</v>
      </c>
      <c r="H706" s="317">
        <f t="shared" ref="H706" si="358">H707+H710</f>
        <v>2110.8838500000002</v>
      </c>
      <c r="I706" s="317">
        <f t="shared" si="332"/>
        <v>67.702536659525066</v>
      </c>
    </row>
    <row r="707" spans="1:9" ht="49.7" customHeight="1" x14ac:dyDescent="0.25">
      <c r="A707" s="323" t="s">
        <v>617</v>
      </c>
      <c r="B707" s="37">
        <v>906</v>
      </c>
      <c r="C707" s="347" t="s">
        <v>279</v>
      </c>
      <c r="D707" s="347" t="s">
        <v>228</v>
      </c>
      <c r="E707" s="347" t="s">
        <v>1036</v>
      </c>
      <c r="F707" s="347"/>
      <c r="G707" s="321">
        <f>G708</f>
        <v>1452.6799999999998</v>
      </c>
      <c r="H707" s="321">
        <f t="shared" ref="H707:H708" si="359">H708</f>
        <v>1028.249</v>
      </c>
      <c r="I707" s="321">
        <f t="shared" si="332"/>
        <v>70.782897816449605</v>
      </c>
    </row>
    <row r="708" spans="1:9" ht="31.5" x14ac:dyDescent="0.25">
      <c r="A708" s="349" t="s">
        <v>287</v>
      </c>
      <c r="B708" s="37">
        <v>906</v>
      </c>
      <c r="C708" s="347" t="s">
        <v>279</v>
      </c>
      <c r="D708" s="347" t="s">
        <v>228</v>
      </c>
      <c r="E708" s="347" t="s">
        <v>1036</v>
      </c>
      <c r="F708" s="347" t="s">
        <v>288</v>
      </c>
      <c r="G708" s="321">
        <f>G709</f>
        <v>1452.6799999999998</v>
      </c>
      <c r="H708" s="321">
        <f t="shared" si="359"/>
        <v>1028.249</v>
      </c>
      <c r="I708" s="321">
        <f t="shared" si="332"/>
        <v>70.782897816449605</v>
      </c>
    </row>
    <row r="709" spans="1:9" ht="15.75" x14ac:dyDescent="0.25">
      <c r="A709" s="349" t="s">
        <v>289</v>
      </c>
      <c r="B709" s="37">
        <v>906</v>
      </c>
      <c r="C709" s="347" t="s">
        <v>279</v>
      </c>
      <c r="D709" s="347" t="s">
        <v>228</v>
      </c>
      <c r="E709" s="347" t="s">
        <v>1036</v>
      </c>
      <c r="F709" s="347" t="s">
        <v>290</v>
      </c>
      <c r="G709" s="339">
        <f>2200-75.32-540-132</f>
        <v>1452.6799999999998</v>
      </c>
      <c r="H709" s="339">
        <v>1028.249</v>
      </c>
      <c r="I709" s="321">
        <f t="shared" si="332"/>
        <v>70.782897816449605</v>
      </c>
    </row>
    <row r="710" spans="1:9" s="211" customFormat="1" ht="31.5" x14ac:dyDescent="0.25">
      <c r="A710" s="349" t="s">
        <v>471</v>
      </c>
      <c r="B710" s="37">
        <v>906</v>
      </c>
      <c r="C710" s="347" t="s">
        <v>279</v>
      </c>
      <c r="D710" s="347" t="s">
        <v>228</v>
      </c>
      <c r="E710" s="347" t="s">
        <v>1037</v>
      </c>
      <c r="F710" s="347"/>
      <c r="G710" s="321">
        <f>G711</f>
        <v>1665.2</v>
      </c>
      <c r="H710" s="321">
        <f t="shared" ref="H710:H711" si="360">H711</f>
        <v>1082.6348499999999</v>
      </c>
      <c r="I710" s="321">
        <f t="shared" si="332"/>
        <v>65.015304467931784</v>
      </c>
    </row>
    <row r="711" spans="1:9" s="211" customFormat="1" ht="31.5" x14ac:dyDescent="0.25">
      <c r="A711" s="349" t="s">
        <v>287</v>
      </c>
      <c r="B711" s="37">
        <v>906</v>
      </c>
      <c r="C711" s="347" t="s">
        <v>279</v>
      </c>
      <c r="D711" s="347" t="s">
        <v>228</v>
      </c>
      <c r="E711" s="347" t="s">
        <v>1037</v>
      </c>
      <c r="F711" s="347" t="s">
        <v>288</v>
      </c>
      <c r="G711" s="321">
        <f>G712</f>
        <v>1665.2</v>
      </c>
      <c r="H711" s="321">
        <f t="shared" si="360"/>
        <v>1082.6348499999999</v>
      </c>
      <c r="I711" s="321">
        <f t="shared" si="332"/>
        <v>65.015304467931784</v>
      </c>
    </row>
    <row r="712" spans="1:9" s="211" customFormat="1" ht="15.75" x14ac:dyDescent="0.25">
      <c r="A712" s="349" t="s">
        <v>289</v>
      </c>
      <c r="B712" s="37">
        <v>906</v>
      </c>
      <c r="C712" s="347" t="s">
        <v>279</v>
      </c>
      <c r="D712" s="347" t="s">
        <v>228</v>
      </c>
      <c r="E712" s="347" t="s">
        <v>1037</v>
      </c>
      <c r="F712" s="347" t="s">
        <v>290</v>
      </c>
      <c r="G712" s="339">
        <f>1740-74.8</f>
        <v>1665.2</v>
      </c>
      <c r="H712" s="339">
        <v>1082.6348499999999</v>
      </c>
      <c r="I712" s="321">
        <f t="shared" si="332"/>
        <v>65.015304467931784</v>
      </c>
    </row>
    <row r="713" spans="1:9" s="211" customFormat="1" ht="34.5" customHeight="1" x14ac:dyDescent="0.25">
      <c r="A713" s="318" t="s">
        <v>1031</v>
      </c>
      <c r="B713" s="266">
        <v>906</v>
      </c>
      <c r="C713" s="319" t="s">
        <v>279</v>
      </c>
      <c r="D713" s="319" t="s">
        <v>228</v>
      </c>
      <c r="E713" s="319" t="s">
        <v>1038</v>
      </c>
      <c r="F713" s="319"/>
      <c r="G713" s="44">
        <f>G714+G717</f>
        <v>1364.7</v>
      </c>
      <c r="H713" s="44">
        <f t="shared" ref="H713" si="361">H714+H717</f>
        <v>1144.6334999999999</v>
      </c>
      <c r="I713" s="317">
        <f t="shared" ref="I713:I776" si="362">H713/G713*100</f>
        <v>83.874367992965489</v>
      </c>
    </row>
    <row r="714" spans="1:9" ht="47.25" x14ac:dyDescent="0.25">
      <c r="A714" s="349" t="s">
        <v>453</v>
      </c>
      <c r="B714" s="37">
        <v>906</v>
      </c>
      <c r="C714" s="347" t="s">
        <v>279</v>
      </c>
      <c r="D714" s="347" t="s">
        <v>228</v>
      </c>
      <c r="E714" s="347" t="s">
        <v>1039</v>
      </c>
      <c r="F714" s="347"/>
      <c r="G714" s="321">
        <f>G715</f>
        <v>868</v>
      </c>
      <c r="H714" s="321">
        <f t="shared" ref="H714:H715" si="363">H715</f>
        <v>826.17520000000002</v>
      </c>
      <c r="I714" s="321">
        <f t="shared" si="362"/>
        <v>95.18147465437788</v>
      </c>
    </row>
    <row r="715" spans="1:9" ht="31.5" x14ac:dyDescent="0.25">
      <c r="A715" s="349" t="s">
        <v>287</v>
      </c>
      <c r="B715" s="37">
        <v>906</v>
      </c>
      <c r="C715" s="347" t="s">
        <v>279</v>
      </c>
      <c r="D715" s="347" t="s">
        <v>228</v>
      </c>
      <c r="E715" s="347" t="s">
        <v>1039</v>
      </c>
      <c r="F715" s="347" t="s">
        <v>288</v>
      </c>
      <c r="G715" s="321">
        <f>G716</f>
        <v>868</v>
      </c>
      <c r="H715" s="321">
        <f t="shared" si="363"/>
        <v>826.17520000000002</v>
      </c>
      <c r="I715" s="321">
        <f t="shared" si="362"/>
        <v>95.18147465437788</v>
      </c>
    </row>
    <row r="716" spans="1:9" ht="15.75" x14ac:dyDescent="0.25">
      <c r="A716" s="349" t="s">
        <v>289</v>
      </c>
      <c r="B716" s="37">
        <v>906</v>
      </c>
      <c r="C716" s="347" t="s">
        <v>279</v>
      </c>
      <c r="D716" s="347" t="s">
        <v>228</v>
      </c>
      <c r="E716" s="347" t="s">
        <v>1039</v>
      </c>
      <c r="F716" s="347" t="s">
        <v>290</v>
      </c>
      <c r="G716" s="321">
        <v>868</v>
      </c>
      <c r="H716" s="321">
        <v>826.17520000000002</v>
      </c>
      <c r="I716" s="321">
        <f t="shared" si="362"/>
        <v>95.18147465437788</v>
      </c>
    </row>
    <row r="717" spans="1:9" s="211" customFormat="1" ht="31.5" x14ac:dyDescent="0.25">
      <c r="A717" s="349" t="s">
        <v>473</v>
      </c>
      <c r="B717" s="37">
        <v>906</v>
      </c>
      <c r="C717" s="347" t="s">
        <v>279</v>
      </c>
      <c r="D717" s="347" t="s">
        <v>228</v>
      </c>
      <c r="E717" s="347" t="s">
        <v>1040</v>
      </c>
      <c r="F717" s="347"/>
      <c r="G717" s="339">
        <f>G718</f>
        <v>496.7</v>
      </c>
      <c r="H717" s="339">
        <f t="shared" ref="H717:H718" si="364">H718</f>
        <v>318.45830000000001</v>
      </c>
      <c r="I717" s="321">
        <f t="shared" si="362"/>
        <v>64.11481779746326</v>
      </c>
    </row>
    <row r="718" spans="1:9" s="211" customFormat="1" ht="31.5" x14ac:dyDescent="0.25">
      <c r="A718" s="264" t="s">
        <v>287</v>
      </c>
      <c r="B718" s="346">
        <v>906</v>
      </c>
      <c r="C718" s="347" t="s">
        <v>279</v>
      </c>
      <c r="D718" s="347" t="s">
        <v>228</v>
      </c>
      <c r="E718" s="347" t="s">
        <v>1040</v>
      </c>
      <c r="F718" s="347" t="s">
        <v>288</v>
      </c>
      <c r="G718" s="339">
        <f>G719</f>
        <v>496.7</v>
      </c>
      <c r="H718" s="339">
        <f t="shared" si="364"/>
        <v>318.45830000000001</v>
      </c>
      <c r="I718" s="321">
        <f t="shared" si="362"/>
        <v>64.11481779746326</v>
      </c>
    </row>
    <row r="719" spans="1:9" s="211" customFormat="1" ht="15.75" x14ac:dyDescent="0.25">
      <c r="A719" s="349" t="s">
        <v>289</v>
      </c>
      <c r="B719" s="346">
        <v>906</v>
      </c>
      <c r="C719" s="347" t="s">
        <v>279</v>
      </c>
      <c r="D719" s="347" t="s">
        <v>228</v>
      </c>
      <c r="E719" s="347" t="s">
        <v>1040</v>
      </c>
      <c r="F719" s="347" t="s">
        <v>290</v>
      </c>
      <c r="G719" s="339">
        <f>733.5-244.8+8</f>
        <v>496.7</v>
      </c>
      <c r="H719" s="339">
        <v>318.45830000000001</v>
      </c>
      <c r="I719" s="321">
        <f t="shared" si="362"/>
        <v>64.11481779746326</v>
      </c>
    </row>
    <row r="720" spans="1:9" s="211" customFormat="1" ht="31.5" x14ac:dyDescent="0.25">
      <c r="A720" s="224" t="s">
        <v>1075</v>
      </c>
      <c r="B720" s="315">
        <v>906</v>
      </c>
      <c r="C720" s="319" t="s">
        <v>279</v>
      </c>
      <c r="D720" s="319" t="s">
        <v>228</v>
      </c>
      <c r="E720" s="319" t="s">
        <v>1041</v>
      </c>
      <c r="F720" s="319"/>
      <c r="G720" s="44">
        <f>G721+G724</f>
        <v>2794.6160000000004</v>
      </c>
      <c r="H720" s="44">
        <f t="shared" ref="H720" si="365">H721+H724</f>
        <v>2725.6334299999999</v>
      </c>
      <c r="I720" s="317">
        <f t="shared" si="362"/>
        <v>97.531590386657754</v>
      </c>
    </row>
    <row r="721" spans="1:9" ht="31.5" x14ac:dyDescent="0.25">
      <c r="A721" s="349" t="s">
        <v>815</v>
      </c>
      <c r="B721" s="346">
        <v>906</v>
      </c>
      <c r="C721" s="347" t="s">
        <v>279</v>
      </c>
      <c r="D721" s="347" t="s">
        <v>228</v>
      </c>
      <c r="E721" s="347" t="s">
        <v>1043</v>
      </c>
      <c r="F721" s="347"/>
      <c r="G721" s="321">
        <f>G722</f>
        <v>32.32</v>
      </c>
      <c r="H721" s="321">
        <f t="shared" ref="H721:H722" si="366">H722</f>
        <v>32.314</v>
      </c>
      <c r="I721" s="321">
        <f t="shared" si="362"/>
        <v>99.981435643564353</v>
      </c>
    </row>
    <row r="722" spans="1:9" ht="31.5" x14ac:dyDescent="0.25">
      <c r="A722" s="349" t="s">
        <v>287</v>
      </c>
      <c r="B722" s="346">
        <v>906</v>
      </c>
      <c r="C722" s="347" t="s">
        <v>279</v>
      </c>
      <c r="D722" s="347" t="s">
        <v>228</v>
      </c>
      <c r="E722" s="347" t="s">
        <v>1043</v>
      </c>
      <c r="F722" s="347" t="s">
        <v>288</v>
      </c>
      <c r="G722" s="321">
        <f>G723</f>
        <v>32.32</v>
      </c>
      <c r="H722" s="321">
        <f t="shared" si="366"/>
        <v>32.314</v>
      </c>
      <c r="I722" s="321">
        <f t="shared" si="362"/>
        <v>99.981435643564353</v>
      </c>
    </row>
    <row r="723" spans="1:9" ht="15.75" x14ac:dyDescent="0.25">
      <c r="A723" s="349" t="s">
        <v>289</v>
      </c>
      <c r="B723" s="346">
        <v>906</v>
      </c>
      <c r="C723" s="347" t="s">
        <v>279</v>
      </c>
      <c r="D723" s="347" t="s">
        <v>228</v>
      </c>
      <c r="E723" s="347" t="s">
        <v>1043</v>
      </c>
      <c r="F723" s="347" t="s">
        <v>290</v>
      </c>
      <c r="G723" s="321">
        <v>32.32</v>
      </c>
      <c r="H723" s="321">
        <v>32.314</v>
      </c>
      <c r="I723" s="321">
        <f t="shared" si="362"/>
        <v>99.981435643564353</v>
      </c>
    </row>
    <row r="724" spans="1:9" ht="38.25" customHeight="1" x14ac:dyDescent="0.25">
      <c r="A724" s="60" t="s">
        <v>785</v>
      </c>
      <c r="B724" s="346">
        <v>906</v>
      </c>
      <c r="C724" s="347" t="s">
        <v>279</v>
      </c>
      <c r="D724" s="347" t="s">
        <v>228</v>
      </c>
      <c r="E724" s="347" t="s">
        <v>1044</v>
      </c>
      <c r="F724" s="347"/>
      <c r="G724" s="321">
        <f>G725</f>
        <v>2762.2960000000003</v>
      </c>
      <c r="H724" s="321">
        <f t="shared" ref="H724:H725" si="367">H725</f>
        <v>2693.31943</v>
      </c>
      <c r="I724" s="321">
        <f t="shared" si="362"/>
        <v>97.50292618893846</v>
      </c>
    </row>
    <row r="725" spans="1:9" ht="31.5" x14ac:dyDescent="0.25">
      <c r="A725" s="323" t="s">
        <v>287</v>
      </c>
      <c r="B725" s="346">
        <v>906</v>
      </c>
      <c r="C725" s="347" t="s">
        <v>279</v>
      </c>
      <c r="D725" s="347" t="s">
        <v>228</v>
      </c>
      <c r="E725" s="347" t="s">
        <v>1044</v>
      </c>
      <c r="F725" s="347" t="s">
        <v>288</v>
      </c>
      <c r="G725" s="321">
        <f>G726</f>
        <v>2762.2960000000003</v>
      </c>
      <c r="H725" s="321">
        <f t="shared" si="367"/>
        <v>2693.31943</v>
      </c>
      <c r="I725" s="321">
        <f t="shared" si="362"/>
        <v>97.50292618893846</v>
      </c>
    </row>
    <row r="726" spans="1:9" ht="15.75" x14ac:dyDescent="0.25">
      <c r="A726" s="193" t="s">
        <v>289</v>
      </c>
      <c r="B726" s="346">
        <v>906</v>
      </c>
      <c r="C726" s="347" t="s">
        <v>279</v>
      </c>
      <c r="D726" s="347" t="s">
        <v>228</v>
      </c>
      <c r="E726" s="347" t="s">
        <v>1044</v>
      </c>
      <c r="F726" s="347" t="s">
        <v>290</v>
      </c>
      <c r="G726" s="321">
        <f>2634+127.896+132-131.6</f>
        <v>2762.2960000000003</v>
      </c>
      <c r="H726" s="321">
        <v>2693.31943</v>
      </c>
      <c r="I726" s="321">
        <f t="shared" si="362"/>
        <v>97.50292618893846</v>
      </c>
    </row>
    <row r="727" spans="1:9" s="211" customFormat="1" ht="31.5" x14ac:dyDescent="0.25">
      <c r="A727" s="222" t="s">
        <v>1046</v>
      </c>
      <c r="B727" s="315">
        <v>906</v>
      </c>
      <c r="C727" s="319" t="s">
        <v>279</v>
      </c>
      <c r="D727" s="319" t="s">
        <v>228</v>
      </c>
      <c r="E727" s="319" t="s">
        <v>1042</v>
      </c>
      <c r="F727" s="319"/>
      <c r="G727" s="317">
        <f>G728+G731</f>
        <v>685.96799999999996</v>
      </c>
      <c r="H727" s="317">
        <f t="shared" ref="H727" si="368">H728+H731</f>
        <v>681.59180000000003</v>
      </c>
      <c r="I727" s="317">
        <f t="shared" si="362"/>
        <v>99.362040211788312</v>
      </c>
    </row>
    <row r="728" spans="1:9" s="211" customFormat="1" ht="47.25" x14ac:dyDescent="0.25">
      <c r="A728" s="193" t="s">
        <v>872</v>
      </c>
      <c r="B728" s="346">
        <v>906</v>
      </c>
      <c r="C728" s="347" t="s">
        <v>279</v>
      </c>
      <c r="D728" s="347" t="s">
        <v>228</v>
      </c>
      <c r="E728" s="347" t="s">
        <v>1505</v>
      </c>
      <c r="F728" s="347"/>
      <c r="G728" s="321">
        <f>G729</f>
        <v>611.16800000000001</v>
      </c>
      <c r="H728" s="321">
        <f t="shared" ref="H728:H729" si="369">H729</f>
        <v>608.59180000000003</v>
      </c>
      <c r="I728" s="321">
        <f t="shared" si="362"/>
        <v>99.578479239750777</v>
      </c>
    </row>
    <row r="729" spans="1:9" s="211" customFormat="1" ht="31.5" x14ac:dyDescent="0.25">
      <c r="A729" s="31" t="s">
        <v>287</v>
      </c>
      <c r="B729" s="346">
        <v>906</v>
      </c>
      <c r="C729" s="347" t="s">
        <v>279</v>
      </c>
      <c r="D729" s="347" t="s">
        <v>228</v>
      </c>
      <c r="E729" s="347" t="s">
        <v>1505</v>
      </c>
      <c r="F729" s="347" t="s">
        <v>288</v>
      </c>
      <c r="G729" s="321">
        <f>G730</f>
        <v>611.16800000000001</v>
      </c>
      <c r="H729" s="321">
        <f t="shared" si="369"/>
        <v>608.59180000000003</v>
      </c>
      <c r="I729" s="321">
        <f t="shared" si="362"/>
        <v>99.578479239750777</v>
      </c>
    </row>
    <row r="730" spans="1:9" s="211" customFormat="1" ht="15.75" x14ac:dyDescent="0.25">
      <c r="A730" s="31" t="s">
        <v>289</v>
      </c>
      <c r="B730" s="346">
        <v>906</v>
      </c>
      <c r="C730" s="347" t="s">
        <v>279</v>
      </c>
      <c r="D730" s="347" t="s">
        <v>228</v>
      </c>
      <c r="E730" s="347" t="s">
        <v>1505</v>
      </c>
      <c r="F730" s="347" t="s">
        <v>290</v>
      </c>
      <c r="G730" s="321">
        <f>678-34-32.832</f>
        <v>611.16800000000001</v>
      </c>
      <c r="H730" s="321">
        <v>608.59180000000003</v>
      </c>
      <c r="I730" s="321">
        <f t="shared" si="362"/>
        <v>99.578479239750777</v>
      </c>
    </row>
    <row r="731" spans="1:9" s="310" customFormat="1" ht="31.5" x14ac:dyDescent="0.25">
      <c r="A731" s="31" t="s">
        <v>1504</v>
      </c>
      <c r="B731" s="346">
        <v>906</v>
      </c>
      <c r="C731" s="347" t="s">
        <v>279</v>
      </c>
      <c r="D731" s="347" t="s">
        <v>228</v>
      </c>
      <c r="E731" s="347" t="s">
        <v>1565</v>
      </c>
      <c r="F731" s="347"/>
      <c r="G731" s="321">
        <f>G732</f>
        <v>74.8</v>
      </c>
      <c r="H731" s="321">
        <f t="shared" ref="H731:H732" si="370">H732</f>
        <v>73</v>
      </c>
      <c r="I731" s="321">
        <f t="shared" si="362"/>
        <v>97.593582887700535</v>
      </c>
    </row>
    <row r="732" spans="1:9" s="310" customFormat="1" ht="31.5" x14ac:dyDescent="0.25">
      <c r="A732" s="31" t="s">
        <v>287</v>
      </c>
      <c r="B732" s="346">
        <v>906</v>
      </c>
      <c r="C732" s="347" t="s">
        <v>279</v>
      </c>
      <c r="D732" s="347" t="s">
        <v>228</v>
      </c>
      <c r="E732" s="347" t="s">
        <v>1565</v>
      </c>
      <c r="F732" s="347" t="s">
        <v>288</v>
      </c>
      <c r="G732" s="321">
        <f>G733</f>
        <v>74.8</v>
      </c>
      <c r="H732" s="321">
        <f t="shared" si="370"/>
        <v>73</v>
      </c>
      <c r="I732" s="321">
        <f t="shared" si="362"/>
        <v>97.593582887700535</v>
      </c>
    </row>
    <row r="733" spans="1:9" s="310" customFormat="1" ht="15.75" x14ac:dyDescent="0.25">
      <c r="A733" s="31" t="s">
        <v>289</v>
      </c>
      <c r="B733" s="346">
        <v>906</v>
      </c>
      <c r="C733" s="347" t="s">
        <v>279</v>
      </c>
      <c r="D733" s="347" t="s">
        <v>228</v>
      </c>
      <c r="E733" s="347" t="s">
        <v>1565</v>
      </c>
      <c r="F733" s="347" t="s">
        <v>290</v>
      </c>
      <c r="G733" s="321">
        <v>74.8</v>
      </c>
      <c r="H733" s="321">
        <v>73</v>
      </c>
      <c r="I733" s="321">
        <f t="shared" si="362"/>
        <v>97.593582887700535</v>
      </c>
    </row>
    <row r="734" spans="1:9" s="310" customFormat="1" ht="31.5" x14ac:dyDescent="0.25">
      <c r="A734" s="222" t="s">
        <v>1549</v>
      </c>
      <c r="B734" s="315">
        <v>906</v>
      </c>
      <c r="C734" s="319" t="s">
        <v>279</v>
      </c>
      <c r="D734" s="319" t="s">
        <v>228</v>
      </c>
      <c r="E734" s="319" t="s">
        <v>1540</v>
      </c>
      <c r="F734" s="319"/>
      <c r="G734" s="317">
        <f>G735+G738</f>
        <v>2369.7999999999997</v>
      </c>
      <c r="H734" s="317">
        <f t="shared" ref="H734" si="371">H735+H738</f>
        <v>2369.7999999999997</v>
      </c>
      <c r="I734" s="317">
        <f t="shared" si="362"/>
        <v>100</v>
      </c>
    </row>
    <row r="735" spans="1:9" s="310" customFormat="1" ht="31.5" x14ac:dyDescent="0.25">
      <c r="A735" s="31" t="s">
        <v>1550</v>
      </c>
      <c r="B735" s="346">
        <v>906</v>
      </c>
      <c r="C735" s="347" t="s">
        <v>279</v>
      </c>
      <c r="D735" s="347" t="s">
        <v>228</v>
      </c>
      <c r="E735" s="347" t="s">
        <v>1541</v>
      </c>
      <c r="F735" s="347"/>
      <c r="G735" s="321">
        <f>G736</f>
        <v>94.6</v>
      </c>
      <c r="H735" s="321">
        <f t="shared" ref="H735:H736" si="372">H736</f>
        <v>94.6</v>
      </c>
      <c r="I735" s="321">
        <f t="shared" si="362"/>
        <v>100</v>
      </c>
    </row>
    <row r="736" spans="1:9" s="310" customFormat="1" ht="31.5" x14ac:dyDescent="0.25">
      <c r="A736" s="31" t="s">
        <v>287</v>
      </c>
      <c r="B736" s="346">
        <v>906</v>
      </c>
      <c r="C736" s="347" t="s">
        <v>279</v>
      </c>
      <c r="D736" s="347" t="s">
        <v>228</v>
      </c>
      <c r="E736" s="347" t="s">
        <v>1541</v>
      </c>
      <c r="F736" s="347" t="s">
        <v>288</v>
      </c>
      <c r="G736" s="321">
        <f>G737</f>
        <v>94.6</v>
      </c>
      <c r="H736" s="321">
        <f t="shared" si="372"/>
        <v>94.6</v>
      </c>
      <c r="I736" s="321">
        <f t="shared" si="362"/>
        <v>100</v>
      </c>
    </row>
    <row r="737" spans="1:15" s="310" customFormat="1" ht="15.75" x14ac:dyDescent="0.25">
      <c r="A737" s="31" t="s">
        <v>289</v>
      </c>
      <c r="B737" s="346">
        <v>906</v>
      </c>
      <c r="C737" s="347" t="s">
        <v>279</v>
      </c>
      <c r="D737" s="347" t="s">
        <v>228</v>
      </c>
      <c r="E737" s="347" t="s">
        <v>1541</v>
      </c>
      <c r="F737" s="347" t="s">
        <v>290</v>
      </c>
      <c r="G737" s="321">
        <f>97.3-2.7</f>
        <v>94.6</v>
      </c>
      <c r="H737" s="321">
        <v>94.6</v>
      </c>
      <c r="I737" s="321">
        <f t="shared" si="362"/>
        <v>100</v>
      </c>
    </row>
    <row r="738" spans="1:15" s="310" customFormat="1" ht="32.25" customHeight="1" x14ac:dyDescent="0.25">
      <c r="A738" s="31" t="s">
        <v>1551</v>
      </c>
      <c r="B738" s="346">
        <v>906</v>
      </c>
      <c r="C738" s="347" t="s">
        <v>279</v>
      </c>
      <c r="D738" s="347" t="s">
        <v>228</v>
      </c>
      <c r="E738" s="347" t="s">
        <v>1542</v>
      </c>
      <c r="F738" s="347"/>
      <c r="G738" s="321">
        <f>G739</f>
        <v>2275.1999999999998</v>
      </c>
      <c r="H738" s="321">
        <f t="shared" ref="H738:H739" si="373">H739</f>
        <v>2275.1999999999998</v>
      </c>
      <c r="I738" s="321">
        <f t="shared" si="362"/>
        <v>100</v>
      </c>
    </row>
    <row r="739" spans="1:15" s="310" customFormat="1" ht="31.5" x14ac:dyDescent="0.25">
      <c r="A739" s="31" t="s">
        <v>287</v>
      </c>
      <c r="B739" s="346">
        <v>906</v>
      </c>
      <c r="C739" s="347" t="s">
        <v>279</v>
      </c>
      <c r="D739" s="347" t="s">
        <v>228</v>
      </c>
      <c r="E739" s="347" t="s">
        <v>1542</v>
      </c>
      <c r="F739" s="347" t="s">
        <v>288</v>
      </c>
      <c r="G739" s="321">
        <f>G740</f>
        <v>2275.1999999999998</v>
      </c>
      <c r="H739" s="321">
        <f t="shared" si="373"/>
        <v>2275.1999999999998</v>
      </c>
      <c r="I739" s="321">
        <f t="shared" si="362"/>
        <v>100</v>
      </c>
    </row>
    <row r="740" spans="1:15" s="310" customFormat="1" ht="15.75" x14ac:dyDescent="0.25">
      <c r="A740" s="31" t="s">
        <v>289</v>
      </c>
      <c r="B740" s="346">
        <v>906</v>
      </c>
      <c r="C740" s="347" t="s">
        <v>279</v>
      </c>
      <c r="D740" s="347" t="s">
        <v>228</v>
      </c>
      <c r="E740" s="347" t="s">
        <v>1542</v>
      </c>
      <c r="F740" s="347" t="s">
        <v>290</v>
      </c>
      <c r="G740" s="321">
        <v>2275.1999999999998</v>
      </c>
      <c r="H740" s="321">
        <v>2275.1999999999998</v>
      </c>
      <c r="I740" s="321">
        <f t="shared" si="362"/>
        <v>100</v>
      </c>
    </row>
    <row r="741" spans="1:15" s="310" customFormat="1" ht="31.5" x14ac:dyDescent="0.25">
      <c r="A741" s="222" t="s">
        <v>1543</v>
      </c>
      <c r="B741" s="315">
        <v>906</v>
      </c>
      <c r="C741" s="319" t="s">
        <v>279</v>
      </c>
      <c r="D741" s="319" t="s">
        <v>228</v>
      </c>
      <c r="E741" s="319" t="s">
        <v>1546</v>
      </c>
      <c r="F741" s="319"/>
      <c r="G741" s="317">
        <f>G742+G745</f>
        <v>641.29999999999995</v>
      </c>
      <c r="H741" s="317">
        <f t="shared" ref="H741" si="374">H742+H745</f>
        <v>634.20000000000005</v>
      </c>
      <c r="I741" s="317">
        <f t="shared" si="362"/>
        <v>98.892873849992213</v>
      </c>
    </row>
    <row r="742" spans="1:15" s="310" customFormat="1" ht="47.25" x14ac:dyDescent="0.25">
      <c r="A742" s="31" t="s">
        <v>1544</v>
      </c>
      <c r="B742" s="346">
        <v>906</v>
      </c>
      <c r="C742" s="347" t="s">
        <v>279</v>
      </c>
      <c r="D742" s="347" t="s">
        <v>228</v>
      </c>
      <c r="E742" s="347" t="s">
        <v>1547</v>
      </c>
      <c r="F742" s="347"/>
      <c r="G742" s="321">
        <f>G743</f>
        <v>26.3</v>
      </c>
      <c r="H742" s="321">
        <f t="shared" ref="H742:H743" si="375">H743</f>
        <v>19.2</v>
      </c>
      <c r="I742" s="321">
        <f t="shared" si="362"/>
        <v>73.003802281368806</v>
      </c>
    </row>
    <row r="743" spans="1:15" s="310" customFormat="1" ht="31.5" x14ac:dyDescent="0.25">
      <c r="A743" s="31" t="s">
        <v>287</v>
      </c>
      <c r="B743" s="346">
        <v>906</v>
      </c>
      <c r="C743" s="347" t="s">
        <v>279</v>
      </c>
      <c r="D743" s="347" t="s">
        <v>228</v>
      </c>
      <c r="E743" s="347" t="s">
        <v>1547</v>
      </c>
      <c r="F743" s="347" t="s">
        <v>288</v>
      </c>
      <c r="G743" s="321">
        <f>G744</f>
        <v>26.3</v>
      </c>
      <c r="H743" s="321">
        <f t="shared" si="375"/>
        <v>19.2</v>
      </c>
      <c r="I743" s="321">
        <f t="shared" si="362"/>
        <v>73.003802281368806</v>
      </c>
    </row>
    <row r="744" spans="1:15" s="310" customFormat="1" ht="15.75" x14ac:dyDescent="0.25">
      <c r="A744" s="31" t="s">
        <v>289</v>
      </c>
      <c r="B744" s="346">
        <v>906</v>
      </c>
      <c r="C744" s="347" t="s">
        <v>279</v>
      </c>
      <c r="D744" s="347" t="s">
        <v>228</v>
      </c>
      <c r="E744" s="347" t="s">
        <v>1547</v>
      </c>
      <c r="F744" s="347" t="s">
        <v>290</v>
      </c>
      <c r="G744" s="321">
        <v>26.3</v>
      </c>
      <c r="H744" s="321">
        <v>19.2</v>
      </c>
      <c r="I744" s="321">
        <f t="shared" si="362"/>
        <v>73.003802281368806</v>
      </c>
    </row>
    <row r="745" spans="1:15" s="310" customFormat="1" ht="31.5" x14ac:dyDescent="0.25">
      <c r="A745" s="31" t="s">
        <v>1545</v>
      </c>
      <c r="B745" s="346">
        <v>906</v>
      </c>
      <c r="C745" s="347" t="s">
        <v>279</v>
      </c>
      <c r="D745" s="347" t="s">
        <v>228</v>
      </c>
      <c r="E745" s="347" t="s">
        <v>1548</v>
      </c>
      <c r="F745" s="347"/>
      <c r="G745" s="321">
        <f>G746</f>
        <v>615</v>
      </c>
      <c r="H745" s="321">
        <f t="shared" ref="H745:H746" si="376">H746</f>
        <v>615</v>
      </c>
      <c r="I745" s="321">
        <f t="shared" si="362"/>
        <v>100</v>
      </c>
    </row>
    <row r="746" spans="1:15" s="310" customFormat="1" ht="31.5" x14ac:dyDescent="0.25">
      <c r="A746" s="31" t="s">
        <v>287</v>
      </c>
      <c r="B746" s="346">
        <v>906</v>
      </c>
      <c r="C746" s="347" t="s">
        <v>279</v>
      </c>
      <c r="D746" s="347" t="s">
        <v>228</v>
      </c>
      <c r="E746" s="347" t="s">
        <v>1548</v>
      </c>
      <c r="F746" s="347" t="s">
        <v>288</v>
      </c>
      <c r="G746" s="321">
        <f>G747</f>
        <v>615</v>
      </c>
      <c r="H746" s="321">
        <f t="shared" si="376"/>
        <v>615</v>
      </c>
      <c r="I746" s="321">
        <f t="shared" si="362"/>
        <v>100</v>
      </c>
    </row>
    <row r="747" spans="1:15" s="310" customFormat="1" ht="15.75" x14ac:dyDescent="0.25">
      <c r="A747" s="31" t="s">
        <v>289</v>
      </c>
      <c r="B747" s="346">
        <v>906</v>
      </c>
      <c r="C747" s="347" t="s">
        <v>279</v>
      </c>
      <c r="D747" s="347" t="s">
        <v>228</v>
      </c>
      <c r="E747" s="347" t="s">
        <v>1548</v>
      </c>
      <c r="F747" s="347" t="s">
        <v>290</v>
      </c>
      <c r="G747" s="321">
        <v>615</v>
      </c>
      <c r="H747" s="321">
        <v>615</v>
      </c>
      <c r="I747" s="321">
        <f t="shared" si="362"/>
        <v>100</v>
      </c>
    </row>
    <row r="748" spans="1:15" s="310" customFormat="1" ht="31.5" x14ac:dyDescent="0.25">
      <c r="A748" s="342" t="s">
        <v>1552</v>
      </c>
      <c r="B748" s="315">
        <v>906</v>
      </c>
      <c r="C748" s="319" t="s">
        <v>279</v>
      </c>
      <c r="D748" s="319" t="s">
        <v>228</v>
      </c>
      <c r="E748" s="319" t="s">
        <v>1553</v>
      </c>
      <c r="F748" s="319"/>
      <c r="G748" s="317">
        <f>G749+G752</f>
        <v>1975.75</v>
      </c>
      <c r="H748" s="317">
        <f t="shared" ref="H748" si="377">H749+H752</f>
        <v>1567.4092000000001</v>
      </c>
      <c r="I748" s="317">
        <f t="shared" si="362"/>
        <v>79.332364924712138</v>
      </c>
    </row>
    <row r="749" spans="1:15" s="310" customFormat="1" ht="63" hidden="1" x14ac:dyDescent="0.25">
      <c r="A749" s="341" t="s">
        <v>1554</v>
      </c>
      <c r="B749" s="346">
        <v>906</v>
      </c>
      <c r="C749" s="347" t="s">
        <v>279</v>
      </c>
      <c r="D749" s="347" t="s">
        <v>228</v>
      </c>
      <c r="E749" s="347" t="s">
        <v>1555</v>
      </c>
      <c r="F749" s="347"/>
      <c r="G749" s="321">
        <f>G750</f>
        <v>0</v>
      </c>
      <c r="H749" s="321">
        <f t="shared" ref="H749:H750" si="378">H750</f>
        <v>0</v>
      </c>
      <c r="I749" s="321" t="e">
        <f t="shared" si="362"/>
        <v>#DIV/0!</v>
      </c>
    </row>
    <row r="750" spans="1:15" s="310" customFormat="1" ht="31.5" hidden="1" x14ac:dyDescent="0.25">
      <c r="A750" s="31" t="s">
        <v>287</v>
      </c>
      <c r="B750" s="346">
        <v>906</v>
      </c>
      <c r="C750" s="347" t="s">
        <v>279</v>
      </c>
      <c r="D750" s="347" t="s">
        <v>228</v>
      </c>
      <c r="E750" s="347" t="s">
        <v>1555</v>
      </c>
      <c r="F750" s="347" t="s">
        <v>288</v>
      </c>
      <c r="G750" s="321">
        <f>G751</f>
        <v>0</v>
      </c>
      <c r="H750" s="321">
        <f t="shared" si="378"/>
        <v>0</v>
      </c>
      <c r="I750" s="321" t="e">
        <f t="shared" si="362"/>
        <v>#DIV/0!</v>
      </c>
    </row>
    <row r="751" spans="1:15" s="310" customFormat="1" ht="15.75" hidden="1" x14ac:dyDescent="0.25">
      <c r="A751" s="31" t="s">
        <v>289</v>
      </c>
      <c r="B751" s="346">
        <v>906</v>
      </c>
      <c r="C751" s="347" t="s">
        <v>279</v>
      </c>
      <c r="D751" s="347" t="s">
        <v>228</v>
      </c>
      <c r="E751" s="347" t="s">
        <v>1555</v>
      </c>
      <c r="F751" s="347" t="s">
        <v>290</v>
      </c>
      <c r="G751" s="321">
        <f>81.05-81.05</f>
        <v>0</v>
      </c>
      <c r="H751" s="321">
        <f t="shared" ref="H751" si="379">81.05-81.05</f>
        <v>0</v>
      </c>
      <c r="I751" s="321" t="e">
        <f t="shared" si="362"/>
        <v>#DIV/0!</v>
      </c>
      <c r="O751" s="310" t="s">
        <v>1558</v>
      </c>
    </row>
    <row r="752" spans="1:15" s="310" customFormat="1" ht="63" x14ac:dyDescent="0.25">
      <c r="A752" s="341" t="s">
        <v>1556</v>
      </c>
      <c r="B752" s="346">
        <v>906</v>
      </c>
      <c r="C752" s="347" t="s">
        <v>279</v>
      </c>
      <c r="D752" s="347" t="s">
        <v>228</v>
      </c>
      <c r="E752" s="347" t="s">
        <v>1566</v>
      </c>
      <c r="F752" s="347"/>
      <c r="G752" s="321">
        <f>G753</f>
        <v>1975.75</v>
      </c>
      <c r="H752" s="321">
        <f t="shared" ref="H752:H753" si="380">H753</f>
        <v>1567.4092000000001</v>
      </c>
      <c r="I752" s="321">
        <f t="shared" si="362"/>
        <v>79.332364924712138</v>
      </c>
    </row>
    <row r="753" spans="1:9" s="310" customFormat="1" ht="31.5" x14ac:dyDescent="0.25">
      <c r="A753" s="31" t="s">
        <v>287</v>
      </c>
      <c r="B753" s="346">
        <v>906</v>
      </c>
      <c r="C753" s="347" t="s">
        <v>279</v>
      </c>
      <c r="D753" s="347" t="s">
        <v>228</v>
      </c>
      <c r="E753" s="347" t="s">
        <v>1566</v>
      </c>
      <c r="F753" s="347" t="s">
        <v>288</v>
      </c>
      <c r="G753" s="321">
        <f>G754</f>
        <v>1975.75</v>
      </c>
      <c r="H753" s="321">
        <f t="shared" si="380"/>
        <v>1567.4092000000001</v>
      </c>
      <c r="I753" s="321">
        <f t="shared" si="362"/>
        <v>79.332364924712138</v>
      </c>
    </row>
    <row r="754" spans="1:9" s="310" customFormat="1" ht="15.75" x14ac:dyDescent="0.25">
      <c r="A754" s="31" t="s">
        <v>289</v>
      </c>
      <c r="B754" s="346">
        <v>906</v>
      </c>
      <c r="C754" s="347" t="s">
        <v>279</v>
      </c>
      <c r="D754" s="347" t="s">
        <v>228</v>
      </c>
      <c r="E754" s="347" t="s">
        <v>1566</v>
      </c>
      <c r="F754" s="347" t="s">
        <v>290</v>
      </c>
      <c r="G754" s="321">
        <f>1894.7+81.05</f>
        <v>1975.75</v>
      </c>
      <c r="H754" s="321">
        <v>1567.4092000000001</v>
      </c>
      <c r="I754" s="321">
        <f t="shared" si="362"/>
        <v>79.332364924712138</v>
      </c>
    </row>
    <row r="755" spans="1:9" s="310" customFormat="1" ht="48.2" customHeight="1" x14ac:dyDescent="0.25">
      <c r="A755" s="222" t="s">
        <v>1406</v>
      </c>
      <c r="B755" s="315">
        <v>906</v>
      </c>
      <c r="C755" s="319" t="s">
        <v>279</v>
      </c>
      <c r="D755" s="319" t="s">
        <v>228</v>
      </c>
      <c r="E755" s="319" t="s">
        <v>1404</v>
      </c>
      <c r="F755" s="319"/>
      <c r="G755" s="317">
        <f>G756+G759</f>
        <v>1164.8389999999999</v>
      </c>
      <c r="H755" s="317">
        <f t="shared" ref="H755" si="381">H756+H759</f>
        <v>1164.8389999999999</v>
      </c>
      <c r="I755" s="317">
        <f t="shared" si="362"/>
        <v>100</v>
      </c>
    </row>
    <row r="756" spans="1:9" s="310" customFormat="1" ht="47.25" x14ac:dyDescent="0.25">
      <c r="A756" s="193" t="s">
        <v>1445</v>
      </c>
      <c r="B756" s="346">
        <v>906</v>
      </c>
      <c r="C756" s="347" t="s">
        <v>279</v>
      </c>
      <c r="D756" s="347" t="s">
        <v>228</v>
      </c>
      <c r="E756" s="347" t="s">
        <v>1405</v>
      </c>
      <c r="F756" s="347"/>
      <c r="G756" s="321">
        <f>G757</f>
        <v>1164.8389999999999</v>
      </c>
      <c r="H756" s="321">
        <f t="shared" ref="H756:H757" si="382">H757</f>
        <v>1164.8389999999999</v>
      </c>
      <c r="I756" s="321">
        <f t="shared" si="362"/>
        <v>100</v>
      </c>
    </row>
    <row r="757" spans="1:9" s="310" customFormat="1" ht="31.5" x14ac:dyDescent="0.25">
      <c r="A757" s="31" t="s">
        <v>287</v>
      </c>
      <c r="B757" s="346">
        <v>906</v>
      </c>
      <c r="C757" s="347" t="s">
        <v>279</v>
      </c>
      <c r="D757" s="347" t="s">
        <v>228</v>
      </c>
      <c r="E757" s="347" t="s">
        <v>1405</v>
      </c>
      <c r="F757" s="347" t="s">
        <v>288</v>
      </c>
      <c r="G757" s="321">
        <f>G758</f>
        <v>1164.8389999999999</v>
      </c>
      <c r="H757" s="321">
        <f t="shared" si="382"/>
        <v>1164.8389999999999</v>
      </c>
      <c r="I757" s="321">
        <f t="shared" si="362"/>
        <v>100</v>
      </c>
    </row>
    <row r="758" spans="1:9" s="310" customFormat="1" ht="15.75" x14ac:dyDescent="0.25">
      <c r="A758" s="31" t="s">
        <v>289</v>
      </c>
      <c r="B758" s="346">
        <v>906</v>
      </c>
      <c r="C758" s="347" t="s">
        <v>279</v>
      </c>
      <c r="D758" s="347" t="s">
        <v>228</v>
      </c>
      <c r="E758" s="347" t="s">
        <v>1405</v>
      </c>
      <c r="F758" s="347" t="s">
        <v>290</v>
      </c>
      <c r="G758" s="321">
        <f>1117.08+10+37.759</f>
        <v>1164.8389999999999</v>
      </c>
      <c r="H758" s="321">
        <v>1164.8389999999999</v>
      </c>
      <c r="I758" s="321">
        <f t="shared" si="362"/>
        <v>100</v>
      </c>
    </row>
    <row r="759" spans="1:9" s="310" customFormat="1" ht="63" hidden="1" x14ac:dyDescent="0.25">
      <c r="A759" s="193" t="s">
        <v>1525</v>
      </c>
      <c r="B759" s="346">
        <v>906</v>
      </c>
      <c r="C759" s="347" t="s">
        <v>279</v>
      </c>
      <c r="D759" s="347" t="s">
        <v>228</v>
      </c>
      <c r="E759" s="347" t="s">
        <v>1523</v>
      </c>
      <c r="F759" s="347"/>
      <c r="G759" s="321">
        <f>G760</f>
        <v>0</v>
      </c>
      <c r="H759" s="321">
        <f t="shared" ref="H759:H760" si="383">H760</f>
        <v>0</v>
      </c>
      <c r="I759" s="321" t="e">
        <f t="shared" si="362"/>
        <v>#DIV/0!</v>
      </c>
    </row>
    <row r="760" spans="1:9" s="310" customFormat="1" ht="31.5" hidden="1" x14ac:dyDescent="0.25">
      <c r="A760" s="31" t="s">
        <v>287</v>
      </c>
      <c r="B760" s="346">
        <v>906</v>
      </c>
      <c r="C760" s="347" t="s">
        <v>279</v>
      </c>
      <c r="D760" s="347" t="s">
        <v>228</v>
      </c>
      <c r="E760" s="347" t="s">
        <v>1523</v>
      </c>
      <c r="F760" s="347" t="s">
        <v>288</v>
      </c>
      <c r="G760" s="321">
        <f>G761</f>
        <v>0</v>
      </c>
      <c r="H760" s="321">
        <f t="shared" si="383"/>
        <v>0</v>
      </c>
      <c r="I760" s="321" t="e">
        <f t="shared" si="362"/>
        <v>#DIV/0!</v>
      </c>
    </row>
    <row r="761" spans="1:9" s="310" customFormat="1" ht="15.75" hidden="1" x14ac:dyDescent="0.25">
      <c r="A761" s="31" t="s">
        <v>289</v>
      </c>
      <c r="B761" s="346">
        <v>906</v>
      </c>
      <c r="C761" s="347" t="s">
        <v>279</v>
      </c>
      <c r="D761" s="347" t="s">
        <v>228</v>
      </c>
      <c r="E761" s="347" t="s">
        <v>1523</v>
      </c>
      <c r="F761" s="347" t="s">
        <v>290</v>
      </c>
      <c r="G761" s="321">
        <v>0</v>
      </c>
      <c r="H761" s="321">
        <v>0</v>
      </c>
      <c r="I761" s="321" t="e">
        <f t="shared" si="362"/>
        <v>#DIV/0!</v>
      </c>
    </row>
    <row r="762" spans="1:9" ht="47.25" x14ac:dyDescent="0.25">
      <c r="A762" s="34" t="s">
        <v>803</v>
      </c>
      <c r="B762" s="315">
        <v>906</v>
      </c>
      <c r="C762" s="319" t="s">
        <v>279</v>
      </c>
      <c r="D762" s="319" t="s">
        <v>228</v>
      </c>
      <c r="E762" s="319" t="s">
        <v>339</v>
      </c>
      <c r="F762" s="319"/>
      <c r="G762" s="317">
        <f>G763</f>
        <v>150</v>
      </c>
      <c r="H762" s="317">
        <f t="shared" ref="H762:H765" si="384">H763</f>
        <v>150</v>
      </c>
      <c r="I762" s="317">
        <f t="shared" si="362"/>
        <v>100</v>
      </c>
    </row>
    <row r="763" spans="1:9" s="211" customFormat="1" ht="63" x14ac:dyDescent="0.25">
      <c r="A763" s="34" t="s">
        <v>1188</v>
      </c>
      <c r="B763" s="315">
        <v>906</v>
      </c>
      <c r="C763" s="319" t="s">
        <v>279</v>
      </c>
      <c r="D763" s="319" t="s">
        <v>228</v>
      </c>
      <c r="E763" s="319" t="s">
        <v>1023</v>
      </c>
      <c r="F763" s="319"/>
      <c r="G763" s="317">
        <f>G764</f>
        <v>150</v>
      </c>
      <c r="H763" s="317">
        <f t="shared" si="384"/>
        <v>150</v>
      </c>
      <c r="I763" s="317">
        <f t="shared" si="362"/>
        <v>100</v>
      </c>
    </row>
    <row r="764" spans="1:9" ht="47.25" x14ac:dyDescent="0.25">
      <c r="A764" s="31" t="s">
        <v>1272</v>
      </c>
      <c r="B764" s="346">
        <v>906</v>
      </c>
      <c r="C764" s="347" t="s">
        <v>279</v>
      </c>
      <c r="D764" s="347" t="s">
        <v>228</v>
      </c>
      <c r="E764" s="347" t="s">
        <v>1024</v>
      </c>
      <c r="F764" s="347"/>
      <c r="G764" s="321">
        <f>G765</f>
        <v>150</v>
      </c>
      <c r="H764" s="321">
        <f t="shared" si="384"/>
        <v>150</v>
      </c>
      <c r="I764" s="321">
        <f t="shared" si="362"/>
        <v>100</v>
      </c>
    </row>
    <row r="765" spans="1:9" ht="31.5" x14ac:dyDescent="0.25">
      <c r="A765" s="31" t="s">
        <v>287</v>
      </c>
      <c r="B765" s="346">
        <v>906</v>
      </c>
      <c r="C765" s="347" t="s">
        <v>279</v>
      </c>
      <c r="D765" s="347" t="s">
        <v>228</v>
      </c>
      <c r="E765" s="347" t="s">
        <v>1024</v>
      </c>
      <c r="F765" s="347" t="s">
        <v>288</v>
      </c>
      <c r="G765" s="321">
        <f>G766</f>
        <v>150</v>
      </c>
      <c r="H765" s="321">
        <f t="shared" si="384"/>
        <v>150</v>
      </c>
      <c r="I765" s="321">
        <f t="shared" si="362"/>
        <v>100</v>
      </c>
    </row>
    <row r="766" spans="1:9" ht="15.75" x14ac:dyDescent="0.25">
      <c r="A766" s="31" t="s">
        <v>289</v>
      </c>
      <c r="B766" s="346">
        <v>906</v>
      </c>
      <c r="C766" s="347" t="s">
        <v>279</v>
      </c>
      <c r="D766" s="347" t="s">
        <v>228</v>
      </c>
      <c r="E766" s="347" t="s">
        <v>1024</v>
      </c>
      <c r="F766" s="347" t="s">
        <v>290</v>
      </c>
      <c r="G766" s="321">
        <v>150</v>
      </c>
      <c r="H766" s="321">
        <v>150</v>
      </c>
      <c r="I766" s="321">
        <f t="shared" si="362"/>
        <v>100</v>
      </c>
    </row>
    <row r="767" spans="1:9" ht="47.25" x14ac:dyDescent="0.25">
      <c r="A767" s="41" t="s">
        <v>1177</v>
      </c>
      <c r="B767" s="315">
        <v>906</v>
      </c>
      <c r="C767" s="319" t="s">
        <v>279</v>
      </c>
      <c r="D767" s="319" t="s">
        <v>228</v>
      </c>
      <c r="E767" s="319" t="s">
        <v>726</v>
      </c>
      <c r="F767" s="228"/>
      <c r="G767" s="317">
        <f>G768</f>
        <v>799.26699999999994</v>
      </c>
      <c r="H767" s="317">
        <f t="shared" ref="H767:H770" si="385">H768</f>
        <v>789.82100000000003</v>
      </c>
      <c r="I767" s="317">
        <f t="shared" si="362"/>
        <v>98.818167145647209</v>
      </c>
    </row>
    <row r="768" spans="1:9" s="211" customFormat="1" ht="47.25" x14ac:dyDescent="0.25">
      <c r="A768" s="41" t="s">
        <v>947</v>
      </c>
      <c r="B768" s="315">
        <v>906</v>
      </c>
      <c r="C768" s="319" t="s">
        <v>279</v>
      </c>
      <c r="D768" s="319" t="s">
        <v>228</v>
      </c>
      <c r="E768" s="319" t="s">
        <v>945</v>
      </c>
      <c r="F768" s="228"/>
      <c r="G768" s="317">
        <f>G769</f>
        <v>799.26699999999994</v>
      </c>
      <c r="H768" s="317">
        <f t="shared" si="385"/>
        <v>789.82100000000003</v>
      </c>
      <c r="I768" s="317">
        <f t="shared" si="362"/>
        <v>98.818167145647209</v>
      </c>
    </row>
    <row r="769" spans="1:9" ht="35.450000000000003" customHeight="1" x14ac:dyDescent="0.25">
      <c r="A769" s="99" t="s">
        <v>801</v>
      </c>
      <c r="B769" s="346">
        <v>906</v>
      </c>
      <c r="C769" s="347" t="s">
        <v>279</v>
      </c>
      <c r="D769" s="347" t="s">
        <v>228</v>
      </c>
      <c r="E769" s="347" t="s">
        <v>1025</v>
      </c>
      <c r="F769" s="32"/>
      <c r="G769" s="321">
        <f>G770</f>
        <v>799.26699999999994</v>
      </c>
      <c r="H769" s="321">
        <f t="shared" si="385"/>
        <v>789.82100000000003</v>
      </c>
      <c r="I769" s="321">
        <f t="shared" si="362"/>
        <v>98.818167145647209</v>
      </c>
    </row>
    <row r="770" spans="1:9" ht="39.75" customHeight="1" x14ac:dyDescent="0.25">
      <c r="A770" s="323" t="s">
        <v>287</v>
      </c>
      <c r="B770" s="346">
        <v>906</v>
      </c>
      <c r="C770" s="347" t="s">
        <v>279</v>
      </c>
      <c r="D770" s="347" t="s">
        <v>228</v>
      </c>
      <c r="E770" s="347" t="s">
        <v>1025</v>
      </c>
      <c r="F770" s="32" t="s">
        <v>288</v>
      </c>
      <c r="G770" s="321">
        <f>G771</f>
        <v>799.26699999999994</v>
      </c>
      <c r="H770" s="321">
        <f t="shared" si="385"/>
        <v>789.82100000000003</v>
      </c>
      <c r="I770" s="321">
        <f t="shared" si="362"/>
        <v>98.818167145647209</v>
      </c>
    </row>
    <row r="771" spans="1:9" ht="15.75" x14ac:dyDescent="0.25">
      <c r="A771" s="193" t="s">
        <v>289</v>
      </c>
      <c r="B771" s="346">
        <v>906</v>
      </c>
      <c r="C771" s="347" t="s">
        <v>279</v>
      </c>
      <c r="D771" s="347" t="s">
        <v>228</v>
      </c>
      <c r="E771" s="347" t="s">
        <v>1025</v>
      </c>
      <c r="F771" s="32" t="s">
        <v>290</v>
      </c>
      <c r="G771" s="321">
        <f>723.3+12.056+21.611+42.3</f>
        <v>799.26699999999994</v>
      </c>
      <c r="H771" s="321">
        <v>789.82100000000003</v>
      </c>
      <c r="I771" s="321">
        <f t="shared" si="362"/>
        <v>98.818167145647209</v>
      </c>
    </row>
    <row r="772" spans="1:9" ht="15.75" x14ac:dyDescent="0.25">
      <c r="A772" s="318" t="s">
        <v>280</v>
      </c>
      <c r="B772" s="315">
        <v>906</v>
      </c>
      <c r="C772" s="319" t="s">
        <v>279</v>
      </c>
      <c r="D772" s="319" t="s">
        <v>230</v>
      </c>
      <c r="E772" s="319"/>
      <c r="F772" s="319"/>
      <c r="G772" s="44">
        <f>G773+G804</f>
        <v>36604.599999999991</v>
      </c>
      <c r="H772" s="44">
        <f t="shared" ref="H772" si="386">H773+H804</f>
        <v>36509.303919999998</v>
      </c>
      <c r="I772" s="317">
        <f t="shared" si="362"/>
        <v>99.739660916933957</v>
      </c>
    </row>
    <row r="773" spans="1:9" ht="50.25" customHeight="1" x14ac:dyDescent="0.25">
      <c r="A773" s="318" t="s">
        <v>441</v>
      </c>
      <c r="B773" s="315">
        <v>906</v>
      </c>
      <c r="C773" s="319" t="s">
        <v>279</v>
      </c>
      <c r="D773" s="319" t="s">
        <v>230</v>
      </c>
      <c r="E773" s="319" t="s">
        <v>421</v>
      </c>
      <c r="F773" s="319"/>
      <c r="G773" s="44">
        <f>G774+G792</f>
        <v>36303.899999999994</v>
      </c>
      <c r="H773" s="44">
        <f t="shared" ref="H773" si="387">H774+H792</f>
        <v>36221.93922</v>
      </c>
      <c r="I773" s="317">
        <f t="shared" si="362"/>
        <v>99.774236982803515</v>
      </c>
    </row>
    <row r="774" spans="1:9" ht="36.75" customHeight="1" x14ac:dyDescent="0.25">
      <c r="A774" s="318" t="s">
        <v>422</v>
      </c>
      <c r="B774" s="315">
        <v>906</v>
      </c>
      <c r="C774" s="319" t="s">
        <v>279</v>
      </c>
      <c r="D774" s="319" t="s">
        <v>230</v>
      </c>
      <c r="E774" s="319" t="s">
        <v>423</v>
      </c>
      <c r="F774" s="319"/>
      <c r="G774" s="44">
        <f>G776+G779</f>
        <v>35889.699999999997</v>
      </c>
      <c r="H774" s="44">
        <f t="shared" ref="H774" si="388">H776+H779</f>
        <v>35881.17252</v>
      </c>
      <c r="I774" s="317">
        <f t="shared" si="362"/>
        <v>99.976239756810457</v>
      </c>
    </row>
    <row r="775" spans="1:9" s="211" customFormat="1" ht="31.35" customHeight="1" x14ac:dyDescent="0.25">
      <c r="A775" s="318" t="s">
        <v>1026</v>
      </c>
      <c r="B775" s="315">
        <v>906</v>
      </c>
      <c r="C775" s="319" t="s">
        <v>279</v>
      </c>
      <c r="D775" s="319" t="s">
        <v>230</v>
      </c>
      <c r="E775" s="319" t="s">
        <v>1004</v>
      </c>
      <c r="F775" s="319"/>
      <c r="G775" s="44">
        <f>G776</f>
        <v>33667.5</v>
      </c>
      <c r="H775" s="44">
        <f t="shared" ref="H775:H777" si="389">H776</f>
        <v>33667.5</v>
      </c>
      <c r="I775" s="317">
        <f t="shared" si="362"/>
        <v>100</v>
      </c>
    </row>
    <row r="776" spans="1:9" ht="31.5" x14ac:dyDescent="0.25">
      <c r="A776" s="349" t="s">
        <v>285</v>
      </c>
      <c r="B776" s="346">
        <v>906</v>
      </c>
      <c r="C776" s="347" t="s">
        <v>279</v>
      </c>
      <c r="D776" s="347" t="s">
        <v>230</v>
      </c>
      <c r="E776" s="347" t="s">
        <v>1049</v>
      </c>
      <c r="F776" s="347"/>
      <c r="G776" s="339">
        <f>G777</f>
        <v>33667.5</v>
      </c>
      <c r="H776" s="339">
        <f t="shared" si="389"/>
        <v>33667.5</v>
      </c>
      <c r="I776" s="321">
        <f t="shared" si="362"/>
        <v>100</v>
      </c>
    </row>
    <row r="777" spans="1:9" ht="36.75" customHeight="1" x14ac:dyDescent="0.25">
      <c r="A777" s="349" t="s">
        <v>287</v>
      </c>
      <c r="B777" s="346">
        <v>906</v>
      </c>
      <c r="C777" s="347" t="s">
        <v>279</v>
      </c>
      <c r="D777" s="347" t="s">
        <v>230</v>
      </c>
      <c r="E777" s="347" t="s">
        <v>1049</v>
      </c>
      <c r="F777" s="347" t="s">
        <v>288</v>
      </c>
      <c r="G777" s="339">
        <f>G778</f>
        <v>33667.5</v>
      </c>
      <c r="H777" s="339">
        <f t="shared" si="389"/>
        <v>33667.5</v>
      </c>
      <c r="I777" s="321">
        <f t="shared" ref="I777:I840" si="390">H777/G777*100</f>
        <v>100</v>
      </c>
    </row>
    <row r="778" spans="1:9" ht="15.75" x14ac:dyDescent="0.25">
      <c r="A778" s="349" t="s">
        <v>289</v>
      </c>
      <c r="B778" s="346">
        <v>906</v>
      </c>
      <c r="C778" s="347" t="s">
        <v>279</v>
      </c>
      <c r="D778" s="347" t="s">
        <v>230</v>
      </c>
      <c r="E778" s="347" t="s">
        <v>1049</v>
      </c>
      <c r="F778" s="347" t="s">
        <v>290</v>
      </c>
      <c r="G778" s="339">
        <f>27381+1173.6+2213.8+0.6+1846-860+1631.5-259.7+492.7+12+36</f>
        <v>33667.5</v>
      </c>
      <c r="H778" s="339">
        <v>33667.5</v>
      </c>
      <c r="I778" s="321">
        <f t="shared" si="390"/>
        <v>100</v>
      </c>
    </row>
    <row r="779" spans="1:9" s="211" customFormat="1" ht="44.45" customHeight="1" x14ac:dyDescent="0.25">
      <c r="A779" s="318" t="s">
        <v>969</v>
      </c>
      <c r="B779" s="315">
        <v>906</v>
      </c>
      <c r="C779" s="319" t="s">
        <v>279</v>
      </c>
      <c r="D779" s="319" t="s">
        <v>230</v>
      </c>
      <c r="E779" s="319" t="s">
        <v>1019</v>
      </c>
      <c r="F779" s="319"/>
      <c r="G779" s="44">
        <f>G783+G786+G789+G780</f>
        <v>2222.1999999999998</v>
      </c>
      <c r="H779" s="44">
        <f t="shared" ref="H779" si="391">H783+H786+H789+H780</f>
        <v>2213.6725200000001</v>
      </c>
      <c r="I779" s="317">
        <f t="shared" si="390"/>
        <v>99.61625956259563</v>
      </c>
    </row>
    <row r="780" spans="1:9" s="310" customFormat="1" ht="77.25" customHeight="1" x14ac:dyDescent="0.25">
      <c r="A780" s="31" t="s">
        <v>308</v>
      </c>
      <c r="B780" s="346">
        <v>906</v>
      </c>
      <c r="C780" s="347" t="s">
        <v>279</v>
      </c>
      <c r="D780" s="347" t="s">
        <v>230</v>
      </c>
      <c r="E780" s="347" t="s">
        <v>1507</v>
      </c>
      <c r="F780" s="347"/>
      <c r="G780" s="339">
        <f>G781</f>
        <v>816.9</v>
      </c>
      <c r="H780" s="339">
        <f t="shared" ref="H780:H781" si="392">H781</f>
        <v>816.9</v>
      </c>
      <c r="I780" s="321">
        <f t="shared" si="390"/>
        <v>100</v>
      </c>
    </row>
    <row r="781" spans="1:9" s="310" customFormat="1" ht="36" customHeight="1" x14ac:dyDescent="0.25">
      <c r="A781" s="349" t="s">
        <v>287</v>
      </c>
      <c r="B781" s="346">
        <v>906</v>
      </c>
      <c r="C781" s="347" t="s">
        <v>279</v>
      </c>
      <c r="D781" s="347" t="s">
        <v>230</v>
      </c>
      <c r="E781" s="347" t="s">
        <v>1507</v>
      </c>
      <c r="F781" s="347" t="s">
        <v>288</v>
      </c>
      <c r="G781" s="339">
        <f>G782</f>
        <v>816.9</v>
      </c>
      <c r="H781" s="339">
        <f t="shared" si="392"/>
        <v>816.9</v>
      </c>
      <c r="I781" s="321">
        <f t="shared" si="390"/>
        <v>100</v>
      </c>
    </row>
    <row r="782" spans="1:9" s="310" customFormat="1" ht="15.6" customHeight="1" x14ac:dyDescent="0.25">
      <c r="A782" s="349" t="s">
        <v>289</v>
      </c>
      <c r="B782" s="346">
        <v>906</v>
      </c>
      <c r="C782" s="347" t="s">
        <v>279</v>
      </c>
      <c r="D782" s="347" t="s">
        <v>230</v>
      </c>
      <c r="E782" s="347" t="s">
        <v>1507</v>
      </c>
      <c r="F782" s="347" t="s">
        <v>290</v>
      </c>
      <c r="G782" s="339">
        <f>216.9+600</f>
        <v>816.9</v>
      </c>
      <c r="H782" s="339">
        <v>816.9</v>
      </c>
      <c r="I782" s="321">
        <f t="shared" si="390"/>
        <v>100</v>
      </c>
    </row>
    <row r="783" spans="1:9" s="211" customFormat="1" ht="60.75" customHeight="1" x14ac:dyDescent="0.25">
      <c r="A783" s="31" t="s">
        <v>304</v>
      </c>
      <c r="B783" s="346">
        <v>906</v>
      </c>
      <c r="C783" s="347" t="s">
        <v>279</v>
      </c>
      <c r="D783" s="347" t="s">
        <v>230</v>
      </c>
      <c r="E783" s="347" t="s">
        <v>1018</v>
      </c>
      <c r="F783" s="347"/>
      <c r="G783" s="339">
        <f>G784</f>
        <v>169.3</v>
      </c>
      <c r="H783" s="339">
        <f t="shared" ref="H783:H784" si="393">H784</f>
        <v>160.77431999999999</v>
      </c>
      <c r="I783" s="321">
        <f t="shared" si="390"/>
        <v>94.96415829887772</v>
      </c>
    </row>
    <row r="784" spans="1:9" s="211" customFormat="1" ht="31.5" x14ac:dyDescent="0.25">
      <c r="A784" s="349" t="s">
        <v>287</v>
      </c>
      <c r="B784" s="346">
        <v>906</v>
      </c>
      <c r="C784" s="347" t="s">
        <v>279</v>
      </c>
      <c r="D784" s="347" t="s">
        <v>230</v>
      </c>
      <c r="E784" s="347" t="s">
        <v>1018</v>
      </c>
      <c r="F784" s="347" t="s">
        <v>288</v>
      </c>
      <c r="G784" s="339">
        <f>G785</f>
        <v>169.3</v>
      </c>
      <c r="H784" s="339">
        <f t="shared" si="393"/>
        <v>160.77431999999999</v>
      </c>
      <c r="I784" s="321">
        <f t="shared" si="390"/>
        <v>94.96415829887772</v>
      </c>
    </row>
    <row r="785" spans="1:9" s="211" customFormat="1" ht="15.75" x14ac:dyDescent="0.25">
      <c r="A785" s="349" t="s">
        <v>289</v>
      </c>
      <c r="B785" s="346">
        <v>906</v>
      </c>
      <c r="C785" s="347" t="s">
        <v>279</v>
      </c>
      <c r="D785" s="347" t="s">
        <v>230</v>
      </c>
      <c r="E785" s="347" t="s">
        <v>1018</v>
      </c>
      <c r="F785" s="347" t="s">
        <v>290</v>
      </c>
      <c r="G785" s="339">
        <f>169.28+0.02</f>
        <v>169.3</v>
      </c>
      <c r="H785" s="339">
        <v>160.77431999999999</v>
      </c>
      <c r="I785" s="321">
        <f t="shared" si="390"/>
        <v>94.96415829887772</v>
      </c>
    </row>
    <row r="786" spans="1:9" s="211" customFormat="1" ht="63" x14ac:dyDescent="0.25">
      <c r="A786" s="31" t="s">
        <v>306</v>
      </c>
      <c r="B786" s="346">
        <v>906</v>
      </c>
      <c r="C786" s="347" t="s">
        <v>279</v>
      </c>
      <c r="D786" s="347" t="s">
        <v>230</v>
      </c>
      <c r="E786" s="347" t="s">
        <v>1021</v>
      </c>
      <c r="F786" s="347"/>
      <c r="G786" s="339">
        <f>G787</f>
        <v>549.5</v>
      </c>
      <c r="H786" s="339">
        <f t="shared" ref="H786:H787" si="394">H787</f>
        <v>549.4982</v>
      </c>
      <c r="I786" s="321">
        <f t="shared" si="390"/>
        <v>99.99967242948135</v>
      </c>
    </row>
    <row r="787" spans="1:9" s="211" customFormat="1" ht="31.5" x14ac:dyDescent="0.25">
      <c r="A787" s="349" t="s">
        <v>287</v>
      </c>
      <c r="B787" s="346">
        <v>906</v>
      </c>
      <c r="C787" s="347" t="s">
        <v>279</v>
      </c>
      <c r="D787" s="347" t="s">
        <v>230</v>
      </c>
      <c r="E787" s="347" t="s">
        <v>1021</v>
      </c>
      <c r="F787" s="347" t="s">
        <v>288</v>
      </c>
      <c r="G787" s="339">
        <f>G788</f>
        <v>549.5</v>
      </c>
      <c r="H787" s="339">
        <f t="shared" si="394"/>
        <v>549.4982</v>
      </c>
      <c r="I787" s="321">
        <f t="shared" si="390"/>
        <v>99.99967242948135</v>
      </c>
    </row>
    <row r="788" spans="1:9" s="211" customFormat="1" ht="15.75" x14ac:dyDescent="0.25">
      <c r="A788" s="349" t="s">
        <v>289</v>
      </c>
      <c r="B788" s="346">
        <v>906</v>
      </c>
      <c r="C788" s="347" t="s">
        <v>279</v>
      </c>
      <c r="D788" s="347" t="s">
        <v>230</v>
      </c>
      <c r="E788" s="347" t="s">
        <v>1021</v>
      </c>
      <c r="F788" s="347" t="s">
        <v>290</v>
      </c>
      <c r="G788" s="339">
        <f>549.46+0.04</f>
        <v>549.5</v>
      </c>
      <c r="H788" s="339">
        <v>549.4982</v>
      </c>
      <c r="I788" s="321">
        <f t="shared" si="390"/>
        <v>99.99967242948135</v>
      </c>
    </row>
    <row r="789" spans="1:9" s="211" customFormat="1" ht="78.75" x14ac:dyDescent="0.25">
      <c r="A789" s="31" t="s">
        <v>308</v>
      </c>
      <c r="B789" s="346">
        <v>906</v>
      </c>
      <c r="C789" s="347" t="s">
        <v>279</v>
      </c>
      <c r="D789" s="347" t="s">
        <v>230</v>
      </c>
      <c r="E789" s="347" t="s">
        <v>1022</v>
      </c>
      <c r="F789" s="347"/>
      <c r="G789" s="339">
        <f>G790</f>
        <v>686.5</v>
      </c>
      <c r="H789" s="339">
        <f t="shared" ref="H789:H790" si="395">H790</f>
        <v>686.5</v>
      </c>
      <c r="I789" s="321">
        <f t="shared" si="390"/>
        <v>100</v>
      </c>
    </row>
    <row r="790" spans="1:9" s="211" customFormat="1" ht="31.5" x14ac:dyDescent="0.25">
      <c r="A790" s="349" t="s">
        <v>287</v>
      </c>
      <c r="B790" s="346">
        <v>906</v>
      </c>
      <c r="C790" s="347" t="s">
        <v>279</v>
      </c>
      <c r="D790" s="347" t="s">
        <v>230</v>
      </c>
      <c r="E790" s="347" t="s">
        <v>1022</v>
      </c>
      <c r="F790" s="347" t="s">
        <v>288</v>
      </c>
      <c r="G790" s="339">
        <f>G791</f>
        <v>686.5</v>
      </c>
      <c r="H790" s="339">
        <f t="shared" si="395"/>
        <v>686.5</v>
      </c>
      <c r="I790" s="321">
        <f t="shared" si="390"/>
        <v>100</v>
      </c>
    </row>
    <row r="791" spans="1:9" s="211" customFormat="1" ht="15.75" x14ac:dyDescent="0.25">
      <c r="A791" s="349" t="s">
        <v>289</v>
      </c>
      <c r="B791" s="346">
        <v>906</v>
      </c>
      <c r="C791" s="347" t="s">
        <v>279</v>
      </c>
      <c r="D791" s="347" t="s">
        <v>230</v>
      </c>
      <c r="E791" s="347" t="s">
        <v>1022</v>
      </c>
      <c r="F791" s="347" t="s">
        <v>290</v>
      </c>
      <c r="G791" s="339">
        <f>903.4-216.9</f>
        <v>686.5</v>
      </c>
      <c r="H791" s="339">
        <v>686.5</v>
      </c>
      <c r="I791" s="321">
        <f t="shared" si="390"/>
        <v>100</v>
      </c>
    </row>
    <row r="792" spans="1:9" ht="38.25" customHeight="1" x14ac:dyDescent="0.25">
      <c r="A792" s="34" t="s">
        <v>719</v>
      </c>
      <c r="B792" s="315">
        <v>906</v>
      </c>
      <c r="C792" s="319" t="s">
        <v>279</v>
      </c>
      <c r="D792" s="319" t="s">
        <v>230</v>
      </c>
      <c r="E792" s="319" t="s">
        <v>462</v>
      </c>
      <c r="F792" s="319"/>
      <c r="G792" s="44">
        <f>G793+G797</f>
        <v>414.2</v>
      </c>
      <c r="H792" s="44">
        <f t="shared" ref="H792" si="396">H793+H797</f>
        <v>340.76669999999996</v>
      </c>
      <c r="I792" s="317">
        <f t="shared" si="390"/>
        <v>82.271052631578939</v>
      </c>
    </row>
    <row r="793" spans="1:9" s="211" customFormat="1" ht="30.75" customHeight="1" x14ac:dyDescent="0.25">
      <c r="A793" s="318" t="s">
        <v>1050</v>
      </c>
      <c r="B793" s="315">
        <v>906</v>
      </c>
      <c r="C793" s="319" t="s">
        <v>279</v>
      </c>
      <c r="D793" s="319" t="s">
        <v>230</v>
      </c>
      <c r="E793" s="319" t="s">
        <v>1231</v>
      </c>
      <c r="F793" s="319"/>
      <c r="G793" s="44">
        <f>G794</f>
        <v>50</v>
      </c>
      <c r="H793" s="44">
        <f t="shared" ref="H793:H795" si="397">H794</f>
        <v>0</v>
      </c>
      <c r="I793" s="317">
        <f t="shared" si="390"/>
        <v>0</v>
      </c>
    </row>
    <row r="794" spans="1:9" ht="31.5" x14ac:dyDescent="0.25">
      <c r="A794" s="349" t="s">
        <v>293</v>
      </c>
      <c r="B794" s="346">
        <v>906</v>
      </c>
      <c r="C794" s="347" t="s">
        <v>279</v>
      </c>
      <c r="D794" s="347" t="s">
        <v>230</v>
      </c>
      <c r="E794" s="347" t="s">
        <v>1537</v>
      </c>
      <c r="F794" s="347"/>
      <c r="G794" s="339">
        <f>G795</f>
        <v>50</v>
      </c>
      <c r="H794" s="339">
        <f t="shared" si="397"/>
        <v>0</v>
      </c>
      <c r="I794" s="321">
        <f t="shared" si="390"/>
        <v>0</v>
      </c>
    </row>
    <row r="795" spans="1:9" ht="31.5" x14ac:dyDescent="0.25">
      <c r="A795" s="31" t="s">
        <v>287</v>
      </c>
      <c r="B795" s="346">
        <v>906</v>
      </c>
      <c r="C795" s="347" t="s">
        <v>279</v>
      </c>
      <c r="D795" s="347" t="s">
        <v>230</v>
      </c>
      <c r="E795" s="347" t="s">
        <v>1537</v>
      </c>
      <c r="F795" s="347" t="s">
        <v>288</v>
      </c>
      <c r="G795" s="339">
        <f>G796</f>
        <v>50</v>
      </c>
      <c r="H795" s="339">
        <f t="shared" si="397"/>
        <v>0</v>
      </c>
      <c r="I795" s="321">
        <f t="shared" si="390"/>
        <v>0</v>
      </c>
    </row>
    <row r="796" spans="1:9" ht="15.75" x14ac:dyDescent="0.25">
      <c r="A796" s="31" t="s">
        <v>289</v>
      </c>
      <c r="B796" s="346">
        <v>906</v>
      </c>
      <c r="C796" s="347" t="s">
        <v>279</v>
      </c>
      <c r="D796" s="347" t="s">
        <v>230</v>
      </c>
      <c r="E796" s="347" t="s">
        <v>1537</v>
      </c>
      <c r="F796" s="347" t="s">
        <v>290</v>
      </c>
      <c r="G796" s="339">
        <f>50</f>
        <v>50</v>
      </c>
      <c r="H796" s="339">
        <v>0</v>
      </c>
      <c r="I796" s="321">
        <f t="shared" si="390"/>
        <v>0</v>
      </c>
    </row>
    <row r="797" spans="1:9" s="211" customFormat="1" ht="31.5" x14ac:dyDescent="0.25">
      <c r="A797" s="224" t="s">
        <v>1075</v>
      </c>
      <c r="B797" s="315">
        <v>906</v>
      </c>
      <c r="C797" s="319" t="s">
        <v>279</v>
      </c>
      <c r="D797" s="319" t="s">
        <v>230</v>
      </c>
      <c r="E797" s="319" t="s">
        <v>1051</v>
      </c>
      <c r="F797" s="319"/>
      <c r="G797" s="44">
        <f>G801+G798</f>
        <v>364.2</v>
      </c>
      <c r="H797" s="44">
        <f t="shared" ref="H797" si="398">H801+H798</f>
        <v>340.76669999999996</v>
      </c>
      <c r="I797" s="317">
        <f t="shared" si="390"/>
        <v>93.565815485996694</v>
      </c>
    </row>
    <row r="798" spans="1:9" s="310" customFormat="1" ht="15.75" x14ac:dyDescent="0.25">
      <c r="A798" s="335" t="s">
        <v>1538</v>
      </c>
      <c r="B798" s="346">
        <v>906</v>
      </c>
      <c r="C798" s="347" t="s">
        <v>279</v>
      </c>
      <c r="D798" s="347" t="s">
        <v>230</v>
      </c>
      <c r="E798" s="347" t="s">
        <v>1539</v>
      </c>
      <c r="F798" s="347"/>
      <c r="G798" s="339">
        <f>G799</f>
        <v>25.2</v>
      </c>
      <c r="H798" s="339">
        <f t="shared" ref="H798:H799" si="399">H799</f>
        <v>25.128</v>
      </c>
      <c r="I798" s="321">
        <f t="shared" si="390"/>
        <v>99.714285714285722</v>
      </c>
    </row>
    <row r="799" spans="1:9" s="310" customFormat="1" ht="31.5" x14ac:dyDescent="0.25">
      <c r="A799" s="349" t="s">
        <v>287</v>
      </c>
      <c r="B799" s="346">
        <v>906</v>
      </c>
      <c r="C799" s="347" t="s">
        <v>279</v>
      </c>
      <c r="D799" s="347" t="s">
        <v>230</v>
      </c>
      <c r="E799" s="347" t="s">
        <v>1539</v>
      </c>
      <c r="F799" s="347" t="s">
        <v>288</v>
      </c>
      <c r="G799" s="339">
        <f>G800</f>
        <v>25.2</v>
      </c>
      <c r="H799" s="339">
        <f t="shared" si="399"/>
        <v>25.128</v>
      </c>
      <c r="I799" s="321">
        <f t="shared" si="390"/>
        <v>99.714285714285722</v>
      </c>
    </row>
    <row r="800" spans="1:9" s="310" customFormat="1" ht="15.75" x14ac:dyDescent="0.25">
      <c r="A800" s="31" t="s">
        <v>289</v>
      </c>
      <c r="B800" s="346">
        <v>906</v>
      </c>
      <c r="C800" s="347" t="s">
        <v>279</v>
      </c>
      <c r="D800" s="347" t="s">
        <v>230</v>
      </c>
      <c r="E800" s="347" t="s">
        <v>1539</v>
      </c>
      <c r="F800" s="347" t="s">
        <v>290</v>
      </c>
      <c r="G800" s="339">
        <v>25.2</v>
      </c>
      <c r="H800" s="339">
        <v>25.128</v>
      </c>
      <c r="I800" s="321">
        <f t="shared" si="390"/>
        <v>99.714285714285722</v>
      </c>
    </row>
    <row r="801" spans="1:9" ht="37.5" customHeight="1" x14ac:dyDescent="0.25">
      <c r="A801" s="45" t="s">
        <v>785</v>
      </c>
      <c r="B801" s="346">
        <v>906</v>
      </c>
      <c r="C801" s="347" t="s">
        <v>279</v>
      </c>
      <c r="D801" s="347" t="s">
        <v>230</v>
      </c>
      <c r="E801" s="347" t="s">
        <v>1052</v>
      </c>
      <c r="F801" s="347"/>
      <c r="G801" s="339">
        <f>G802</f>
        <v>339</v>
      </c>
      <c r="H801" s="339">
        <f t="shared" ref="H801:H802" si="400">H802</f>
        <v>315.63869999999997</v>
      </c>
      <c r="I801" s="321">
        <f t="shared" si="390"/>
        <v>93.108761061946893</v>
      </c>
    </row>
    <row r="802" spans="1:9" ht="32.25" customHeight="1" x14ac:dyDescent="0.25">
      <c r="A802" s="349" t="s">
        <v>287</v>
      </c>
      <c r="B802" s="346">
        <v>906</v>
      </c>
      <c r="C802" s="347" t="s">
        <v>279</v>
      </c>
      <c r="D802" s="347" t="s">
        <v>230</v>
      </c>
      <c r="E802" s="347" t="s">
        <v>1052</v>
      </c>
      <c r="F802" s="347" t="s">
        <v>288</v>
      </c>
      <c r="G802" s="339">
        <f>G803</f>
        <v>339</v>
      </c>
      <c r="H802" s="339">
        <f t="shared" si="400"/>
        <v>315.63869999999997</v>
      </c>
      <c r="I802" s="321">
        <f t="shared" si="390"/>
        <v>93.108761061946893</v>
      </c>
    </row>
    <row r="803" spans="1:9" ht="15.75" x14ac:dyDescent="0.25">
      <c r="A803" s="31" t="s">
        <v>289</v>
      </c>
      <c r="B803" s="346">
        <v>906</v>
      </c>
      <c r="C803" s="347" t="s">
        <v>279</v>
      </c>
      <c r="D803" s="347" t="s">
        <v>230</v>
      </c>
      <c r="E803" s="347" t="s">
        <v>1052</v>
      </c>
      <c r="F803" s="347" t="s">
        <v>290</v>
      </c>
      <c r="G803" s="339">
        <f>689-350</f>
        <v>339</v>
      </c>
      <c r="H803" s="339">
        <v>315.63869999999997</v>
      </c>
      <c r="I803" s="321">
        <f t="shared" si="390"/>
        <v>93.108761061946893</v>
      </c>
    </row>
    <row r="804" spans="1:9" ht="54.75" customHeight="1" x14ac:dyDescent="0.25">
      <c r="A804" s="41" t="s">
        <v>1177</v>
      </c>
      <c r="B804" s="315">
        <v>906</v>
      </c>
      <c r="C804" s="319" t="s">
        <v>279</v>
      </c>
      <c r="D804" s="319" t="s">
        <v>230</v>
      </c>
      <c r="E804" s="319" t="s">
        <v>726</v>
      </c>
      <c r="F804" s="228"/>
      <c r="G804" s="44">
        <f>G806</f>
        <v>300.7</v>
      </c>
      <c r="H804" s="44">
        <f t="shared" ref="H804" si="401">H806</f>
        <v>287.36470000000003</v>
      </c>
      <c r="I804" s="317">
        <f t="shared" si="390"/>
        <v>95.565247755237792</v>
      </c>
    </row>
    <row r="805" spans="1:9" s="211" customFormat="1" ht="46.9" customHeight="1" x14ac:dyDescent="0.25">
      <c r="A805" s="41" t="s">
        <v>947</v>
      </c>
      <c r="B805" s="315">
        <v>906</v>
      </c>
      <c r="C805" s="319" t="s">
        <v>279</v>
      </c>
      <c r="D805" s="319" t="s">
        <v>1053</v>
      </c>
      <c r="E805" s="319" t="s">
        <v>945</v>
      </c>
      <c r="F805" s="228"/>
      <c r="G805" s="44">
        <f>G806</f>
        <v>300.7</v>
      </c>
      <c r="H805" s="44">
        <f t="shared" ref="H805:H807" si="402">H806</f>
        <v>287.36470000000003</v>
      </c>
      <c r="I805" s="317">
        <f t="shared" si="390"/>
        <v>95.565247755237792</v>
      </c>
    </row>
    <row r="806" spans="1:9" ht="38.25" customHeight="1" x14ac:dyDescent="0.25">
      <c r="A806" s="99" t="s">
        <v>801</v>
      </c>
      <c r="B806" s="346">
        <v>906</v>
      </c>
      <c r="C806" s="347" t="s">
        <v>279</v>
      </c>
      <c r="D806" s="347" t="s">
        <v>230</v>
      </c>
      <c r="E806" s="347" t="s">
        <v>1025</v>
      </c>
      <c r="F806" s="32"/>
      <c r="G806" s="339">
        <f>G807</f>
        <v>300.7</v>
      </c>
      <c r="H806" s="339">
        <f t="shared" si="402"/>
        <v>287.36470000000003</v>
      </c>
      <c r="I806" s="321">
        <f t="shared" si="390"/>
        <v>95.565247755237792</v>
      </c>
    </row>
    <row r="807" spans="1:9" ht="34.5" customHeight="1" x14ac:dyDescent="0.25">
      <c r="A807" s="323" t="s">
        <v>287</v>
      </c>
      <c r="B807" s="346">
        <v>906</v>
      </c>
      <c r="C807" s="347" t="s">
        <v>279</v>
      </c>
      <c r="D807" s="347" t="s">
        <v>230</v>
      </c>
      <c r="E807" s="347" t="s">
        <v>1025</v>
      </c>
      <c r="F807" s="32" t="s">
        <v>288</v>
      </c>
      <c r="G807" s="339">
        <f>G808</f>
        <v>300.7</v>
      </c>
      <c r="H807" s="339">
        <f t="shared" si="402"/>
        <v>287.36470000000003</v>
      </c>
      <c r="I807" s="321">
        <f t="shared" si="390"/>
        <v>95.565247755237792</v>
      </c>
    </row>
    <row r="808" spans="1:9" ht="15.75" x14ac:dyDescent="0.25">
      <c r="A808" s="193" t="s">
        <v>289</v>
      </c>
      <c r="B808" s="346">
        <v>906</v>
      </c>
      <c r="C808" s="347" t="s">
        <v>279</v>
      </c>
      <c r="D808" s="347" t="s">
        <v>230</v>
      </c>
      <c r="E808" s="347" t="s">
        <v>1025</v>
      </c>
      <c r="F808" s="32" t="s">
        <v>290</v>
      </c>
      <c r="G808" s="339">
        <v>300.7</v>
      </c>
      <c r="H808" s="339">
        <v>287.36470000000003</v>
      </c>
      <c r="I808" s="321">
        <f t="shared" si="390"/>
        <v>95.565247755237792</v>
      </c>
    </row>
    <row r="809" spans="1:9" ht="21.2" customHeight="1" x14ac:dyDescent="0.25">
      <c r="A809" s="318" t="s">
        <v>481</v>
      </c>
      <c r="B809" s="315">
        <v>906</v>
      </c>
      <c r="C809" s="319" t="s">
        <v>279</v>
      </c>
      <c r="D809" s="319" t="s">
        <v>279</v>
      </c>
      <c r="E809" s="319"/>
      <c r="F809" s="319"/>
      <c r="G809" s="317">
        <f>G810</f>
        <v>4772.2999999999993</v>
      </c>
      <c r="H809" s="317">
        <f t="shared" ref="H809:H817" si="403">H810</f>
        <v>3655.71585</v>
      </c>
      <c r="I809" s="317">
        <f t="shared" si="390"/>
        <v>76.602808918131728</v>
      </c>
    </row>
    <row r="810" spans="1:9" ht="47.25" x14ac:dyDescent="0.25">
      <c r="A810" s="318" t="s">
        <v>441</v>
      </c>
      <c r="B810" s="315">
        <v>906</v>
      </c>
      <c r="C810" s="319" t="s">
        <v>279</v>
      </c>
      <c r="D810" s="319" t="s">
        <v>279</v>
      </c>
      <c r="E810" s="319" t="s">
        <v>421</v>
      </c>
      <c r="F810" s="319"/>
      <c r="G810" s="317">
        <f t="shared" ref="G810:G817" si="404">G811</f>
        <v>4772.2999999999993</v>
      </c>
      <c r="H810" s="317">
        <f t="shared" si="403"/>
        <v>3655.71585</v>
      </c>
      <c r="I810" s="317">
        <f t="shared" si="390"/>
        <v>76.602808918131728</v>
      </c>
    </row>
    <row r="811" spans="1:9" ht="31.5" x14ac:dyDescent="0.25">
      <c r="A811" s="318" t="s">
        <v>482</v>
      </c>
      <c r="B811" s="315">
        <v>906</v>
      </c>
      <c r="C811" s="319" t="s">
        <v>279</v>
      </c>
      <c r="D811" s="319" t="s">
        <v>483</v>
      </c>
      <c r="E811" s="319" t="s">
        <v>484</v>
      </c>
      <c r="F811" s="319"/>
      <c r="G811" s="317">
        <f>G812</f>
        <v>4772.2999999999993</v>
      </c>
      <c r="H811" s="317">
        <f t="shared" si="403"/>
        <v>3655.71585</v>
      </c>
      <c r="I811" s="317">
        <f t="shared" si="390"/>
        <v>76.602808918131728</v>
      </c>
    </row>
    <row r="812" spans="1:9" s="211" customFormat="1" ht="31.5" x14ac:dyDescent="0.25">
      <c r="A812" s="318" t="s">
        <v>1054</v>
      </c>
      <c r="B812" s="315">
        <v>906</v>
      </c>
      <c r="C812" s="319" t="s">
        <v>279</v>
      </c>
      <c r="D812" s="319" t="s">
        <v>279</v>
      </c>
      <c r="E812" s="319" t="s">
        <v>1055</v>
      </c>
      <c r="F812" s="319"/>
      <c r="G812" s="317">
        <f>G813+G816</f>
        <v>4772.2999999999993</v>
      </c>
      <c r="H812" s="317">
        <f t="shared" ref="H812" si="405">H813+H816</f>
        <v>3655.71585</v>
      </c>
      <c r="I812" s="317">
        <f t="shared" si="390"/>
        <v>76.602808918131728</v>
      </c>
    </row>
    <row r="813" spans="1:9" ht="31.5" x14ac:dyDescent="0.25">
      <c r="A813" s="31" t="s">
        <v>1233</v>
      </c>
      <c r="B813" s="346">
        <v>906</v>
      </c>
      <c r="C813" s="347" t="s">
        <v>279</v>
      </c>
      <c r="D813" s="347" t="s">
        <v>279</v>
      </c>
      <c r="E813" s="347" t="s">
        <v>1056</v>
      </c>
      <c r="F813" s="347"/>
      <c r="G813" s="321">
        <f t="shared" si="404"/>
        <v>1693.4999999999995</v>
      </c>
      <c r="H813" s="321">
        <f t="shared" si="403"/>
        <v>1693.00845</v>
      </c>
      <c r="I813" s="321">
        <f t="shared" si="390"/>
        <v>99.970974313551835</v>
      </c>
    </row>
    <row r="814" spans="1:9" ht="36" customHeight="1" x14ac:dyDescent="0.25">
      <c r="A814" s="349" t="s">
        <v>287</v>
      </c>
      <c r="B814" s="346">
        <v>906</v>
      </c>
      <c r="C814" s="347" t="s">
        <v>279</v>
      </c>
      <c r="D814" s="347" t="s">
        <v>279</v>
      </c>
      <c r="E814" s="347" t="s">
        <v>1056</v>
      </c>
      <c r="F814" s="347" t="s">
        <v>288</v>
      </c>
      <c r="G814" s="321">
        <f t="shared" si="404"/>
        <v>1693.4999999999995</v>
      </c>
      <c r="H814" s="321">
        <f t="shared" si="403"/>
        <v>1693.00845</v>
      </c>
      <c r="I814" s="321">
        <f t="shared" si="390"/>
        <v>99.970974313551835</v>
      </c>
    </row>
    <row r="815" spans="1:9" ht="15.75" x14ac:dyDescent="0.25">
      <c r="A815" s="349" t="s">
        <v>289</v>
      </c>
      <c r="B815" s="346">
        <v>906</v>
      </c>
      <c r="C815" s="347" t="s">
        <v>279</v>
      </c>
      <c r="D815" s="347" t="s">
        <v>279</v>
      </c>
      <c r="E815" s="347" t="s">
        <v>1056</v>
      </c>
      <c r="F815" s="347" t="s">
        <v>290</v>
      </c>
      <c r="G815" s="339">
        <f>3485+99-608.97-184.8-210.73-886</f>
        <v>1693.4999999999995</v>
      </c>
      <c r="H815" s="339">
        <v>1693.00845</v>
      </c>
      <c r="I815" s="321">
        <f t="shared" si="390"/>
        <v>99.970974313551835</v>
      </c>
    </row>
    <row r="816" spans="1:9" ht="38.25" customHeight="1" x14ac:dyDescent="0.25">
      <c r="A816" s="31" t="s">
        <v>489</v>
      </c>
      <c r="B816" s="346">
        <v>906</v>
      </c>
      <c r="C816" s="347" t="s">
        <v>279</v>
      </c>
      <c r="D816" s="347" t="s">
        <v>279</v>
      </c>
      <c r="E816" s="347" t="s">
        <v>1057</v>
      </c>
      <c r="F816" s="347"/>
      <c r="G816" s="321">
        <f t="shared" si="404"/>
        <v>3078.8</v>
      </c>
      <c r="H816" s="321">
        <f t="shared" si="403"/>
        <v>1962.7074</v>
      </c>
      <c r="I816" s="321">
        <f t="shared" si="390"/>
        <v>63.74910354683643</v>
      </c>
    </row>
    <row r="817" spans="1:9" ht="36.75" customHeight="1" x14ac:dyDescent="0.25">
      <c r="A817" s="349" t="s">
        <v>287</v>
      </c>
      <c r="B817" s="346">
        <v>906</v>
      </c>
      <c r="C817" s="347" t="s">
        <v>279</v>
      </c>
      <c r="D817" s="347" t="s">
        <v>279</v>
      </c>
      <c r="E817" s="347" t="s">
        <v>1057</v>
      </c>
      <c r="F817" s="347" t="s">
        <v>288</v>
      </c>
      <c r="G817" s="321">
        <f t="shared" si="404"/>
        <v>3078.8</v>
      </c>
      <c r="H817" s="321">
        <f t="shared" si="403"/>
        <v>1962.7074</v>
      </c>
      <c r="I817" s="321">
        <f t="shared" si="390"/>
        <v>63.74910354683643</v>
      </c>
    </row>
    <row r="818" spans="1:9" ht="15.75" x14ac:dyDescent="0.25">
      <c r="A818" s="349" t="s">
        <v>289</v>
      </c>
      <c r="B818" s="346">
        <v>906</v>
      </c>
      <c r="C818" s="347" t="s">
        <v>279</v>
      </c>
      <c r="D818" s="347" t="s">
        <v>279</v>
      </c>
      <c r="E818" s="347" t="s">
        <v>1057</v>
      </c>
      <c r="F818" s="347" t="s">
        <v>290</v>
      </c>
      <c r="G818" s="339">
        <f>2220.9+857.9</f>
        <v>3078.8</v>
      </c>
      <c r="H818" s="339">
        <v>1962.7074</v>
      </c>
      <c r="I818" s="321">
        <f t="shared" si="390"/>
        <v>63.74910354683643</v>
      </c>
    </row>
    <row r="819" spans="1:9" ht="15.75" x14ac:dyDescent="0.25">
      <c r="A819" s="318" t="s">
        <v>310</v>
      </c>
      <c r="B819" s="315">
        <v>906</v>
      </c>
      <c r="C819" s="319" t="s">
        <v>279</v>
      </c>
      <c r="D819" s="319" t="s">
        <v>234</v>
      </c>
      <c r="E819" s="319"/>
      <c r="F819" s="319"/>
      <c r="G819" s="317">
        <f>G820+G833</f>
        <v>20819.267749999999</v>
      </c>
      <c r="H819" s="317">
        <f t="shared" ref="H819" si="406">H820+H833</f>
        <v>19823.386190000001</v>
      </c>
      <c r="I819" s="317">
        <f t="shared" si="390"/>
        <v>95.216538967851079</v>
      </c>
    </row>
    <row r="820" spans="1:9" ht="31.5" x14ac:dyDescent="0.25">
      <c r="A820" s="318" t="s">
        <v>988</v>
      </c>
      <c r="B820" s="315">
        <v>906</v>
      </c>
      <c r="C820" s="319" t="s">
        <v>279</v>
      </c>
      <c r="D820" s="319" t="s">
        <v>234</v>
      </c>
      <c r="E820" s="319" t="s">
        <v>902</v>
      </c>
      <c r="F820" s="319"/>
      <c r="G820" s="317">
        <f>G821</f>
        <v>6372.7697500000004</v>
      </c>
      <c r="H820" s="317">
        <f t="shared" ref="H820" si="407">H821</f>
        <v>6103.5351200000005</v>
      </c>
      <c r="I820" s="317">
        <f t="shared" si="390"/>
        <v>95.775233680771223</v>
      </c>
    </row>
    <row r="821" spans="1:9" ht="15.75" x14ac:dyDescent="0.25">
      <c r="A821" s="318" t="s">
        <v>989</v>
      </c>
      <c r="B821" s="315">
        <v>906</v>
      </c>
      <c r="C821" s="319" t="s">
        <v>279</v>
      </c>
      <c r="D821" s="319" t="s">
        <v>234</v>
      </c>
      <c r="E821" s="319" t="s">
        <v>903</v>
      </c>
      <c r="F821" s="319"/>
      <c r="G821" s="317">
        <f>G822+G827+G830</f>
        <v>6372.7697500000004</v>
      </c>
      <c r="H821" s="317">
        <f t="shared" ref="H821" si="408">H822+H827+H830</f>
        <v>6103.5351200000005</v>
      </c>
      <c r="I821" s="317">
        <f t="shared" si="390"/>
        <v>95.775233680771223</v>
      </c>
    </row>
    <row r="822" spans="1:9" ht="36.75" customHeight="1" x14ac:dyDescent="0.25">
      <c r="A822" s="349" t="s">
        <v>965</v>
      </c>
      <c r="B822" s="346">
        <v>906</v>
      </c>
      <c r="C822" s="347" t="s">
        <v>279</v>
      </c>
      <c r="D822" s="347" t="s">
        <v>234</v>
      </c>
      <c r="E822" s="347" t="s">
        <v>904</v>
      </c>
      <c r="F822" s="347"/>
      <c r="G822" s="321">
        <f>G823+G825</f>
        <v>6288.1949999999997</v>
      </c>
      <c r="H822" s="321">
        <f t="shared" ref="H822" si="409">H823+H825</f>
        <v>6018.9603699999998</v>
      </c>
      <c r="I822" s="321">
        <f t="shared" si="390"/>
        <v>95.718411563254634</v>
      </c>
    </row>
    <row r="823" spans="1:9" ht="63.2" customHeight="1" x14ac:dyDescent="0.25">
      <c r="A823" s="349" t="s">
        <v>142</v>
      </c>
      <c r="B823" s="346">
        <v>906</v>
      </c>
      <c r="C823" s="347" t="s">
        <v>279</v>
      </c>
      <c r="D823" s="347" t="s">
        <v>234</v>
      </c>
      <c r="E823" s="347" t="s">
        <v>904</v>
      </c>
      <c r="F823" s="347" t="s">
        <v>143</v>
      </c>
      <c r="G823" s="321">
        <f>G824</f>
        <v>5904.41</v>
      </c>
      <c r="H823" s="321">
        <f t="shared" ref="H823" si="410">H824</f>
        <v>5691.0147699999998</v>
      </c>
      <c r="I823" s="321">
        <f t="shared" si="390"/>
        <v>96.385833131506786</v>
      </c>
    </row>
    <row r="824" spans="1:9" ht="31.5" x14ac:dyDescent="0.25">
      <c r="A824" s="349" t="s">
        <v>144</v>
      </c>
      <c r="B824" s="346">
        <v>906</v>
      </c>
      <c r="C824" s="347" t="s">
        <v>279</v>
      </c>
      <c r="D824" s="347" t="s">
        <v>234</v>
      </c>
      <c r="E824" s="347" t="s">
        <v>904</v>
      </c>
      <c r="F824" s="347" t="s">
        <v>145</v>
      </c>
      <c r="G824" s="339">
        <f>5247+267+82.2-19-10.5-12.29+253+97</f>
        <v>5904.41</v>
      </c>
      <c r="H824" s="339">
        <v>5691.0147699999998</v>
      </c>
      <c r="I824" s="321">
        <f t="shared" si="390"/>
        <v>96.385833131506786</v>
      </c>
    </row>
    <row r="825" spans="1:9" ht="31.5" x14ac:dyDescent="0.25">
      <c r="A825" s="349" t="s">
        <v>146</v>
      </c>
      <c r="B825" s="346">
        <v>906</v>
      </c>
      <c r="C825" s="347" t="s">
        <v>279</v>
      </c>
      <c r="D825" s="347" t="s">
        <v>234</v>
      </c>
      <c r="E825" s="347" t="s">
        <v>904</v>
      </c>
      <c r="F825" s="347" t="s">
        <v>147</v>
      </c>
      <c r="G825" s="321">
        <f>G826</f>
        <v>383.78499999999997</v>
      </c>
      <c r="H825" s="321">
        <f t="shared" ref="H825" si="411">H826</f>
        <v>327.94560000000001</v>
      </c>
      <c r="I825" s="321">
        <f t="shared" si="390"/>
        <v>85.450343291165638</v>
      </c>
    </row>
    <row r="826" spans="1:9" ht="31.5" x14ac:dyDescent="0.25">
      <c r="A826" s="349" t="s">
        <v>148</v>
      </c>
      <c r="B826" s="346">
        <v>906</v>
      </c>
      <c r="C826" s="347" t="s">
        <v>279</v>
      </c>
      <c r="D826" s="347" t="s">
        <v>234</v>
      </c>
      <c r="E826" s="347" t="s">
        <v>904</v>
      </c>
      <c r="F826" s="347" t="s">
        <v>149</v>
      </c>
      <c r="G826" s="321">
        <f>212+19+10.5+12.29+129.995</f>
        <v>383.78499999999997</v>
      </c>
      <c r="H826" s="321">
        <v>327.94560000000001</v>
      </c>
      <c r="I826" s="321">
        <f t="shared" si="390"/>
        <v>85.450343291165638</v>
      </c>
    </row>
    <row r="827" spans="1:9" s="211" customFormat="1" ht="31.5" x14ac:dyDescent="0.25">
      <c r="A827" s="349" t="s">
        <v>883</v>
      </c>
      <c r="B827" s="346">
        <v>906</v>
      </c>
      <c r="C827" s="347" t="s">
        <v>279</v>
      </c>
      <c r="D827" s="347" t="s">
        <v>234</v>
      </c>
      <c r="E827" s="347" t="s">
        <v>906</v>
      </c>
      <c r="F827" s="347"/>
      <c r="G827" s="321">
        <f>G828</f>
        <v>39.765000000000001</v>
      </c>
      <c r="H827" s="321">
        <f t="shared" ref="H827:H828" si="412">H828</f>
        <v>39.765000000000001</v>
      </c>
      <c r="I827" s="321">
        <f t="shared" si="390"/>
        <v>100</v>
      </c>
    </row>
    <row r="828" spans="1:9" s="211" customFormat="1" ht="78.75" x14ac:dyDescent="0.25">
      <c r="A828" s="349" t="s">
        <v>142</v>
      </c>
      <c r="B828" s="346">
        <v>906</v>
      </c>
      <c r="C828" s="347" t="s">
        <v>279</v>
      </c>
      <c r="D828" s="347" t="s">
        <v>234</v>
      </c>
      <c r="E828" s="347" t="s">
        <v>906</v>
      </c>
      <c r="F828" s="347" t="s">
        <v>143</v>
      </c>
      <c r="G828" s="321">
        <f>G829</f>
        <v>39.765000000000001</v>
      </c>
      <c r="H828" s="321">
        <f t="shared" si="412"/>
        <v>39.765000000000001</v>
      </c>
      <c r="I828" s="321">
        <f t="shared" si="390"/>
        <v>100</v>
      </c>
    </row>
    <row r="829" spans="1:9" s="211" customFormat="1" ht="31.5" x14ac:dyDescent="0.25">
      <c r="A829" s="349" t="s">
        <v>144</v>
      </c>
      <c r="B829" s="346">
        <v>906</v>
      </c>
      <c r="C829" s="347" t="s">
        <v>279</v>
      </c>
      <c r="D829" s="347" t="s">
        <v>234</v>
      </c>
      <c r="E829" s="347" t="s">
        <v>906</v>
      </c>
      <c r="F829" s="347" t="s">
        <v>145</v>
      </c>
      <c r="G829" s="321">
        <f>126-86.235</f>
        <v>39.765000000000001</v>
      </c>
      <c r="H829" s="321">
        <v>39.765000000000001</v>
      </c>
      <c r="I829" s="321">
        <f t="shared" si="390"/>
        <v>100</v>
      </c>
    </row>
    <row r="830" spans="1:9" s="310" customFormat="1" ht="31.5" x14ac:dyDescent="0.25">
      <c r="A830" s="349" t="s">
        <v>1582</v>
      </c>
      <c r="B830" s="346">
        <v>906</v>
      </c>
      <c r="C830" s="347" t="s">
        <v>279</v>
      </c>
      <c r="D830" s="347" t="s">
        <v>234</v>
      </c>
      <c r="E830" s="347" t="s">
        <v>1584</v>
      </c>
      <c r="F830" s="347"/>
      <c r="G830" s="321">
        <f>G831</f>
        <v>44.809750000000001</v>
      </c>
      <c r="H830" s="321">
        <f t="shared" ref="H830:H831" si="413">H831</f>
        <v>44.809750000000001</v>
      </c>
      <c r="I830" s="321">
        <f t="shared" si="390"/>
        <v>100</v>
      </c>
    </row>
    <row r="831" spans="1:9" s="310" customFormat="1" ht="78.75" x14ac:dyDescent="0.25">
      <c r="A831" s="349" t="s">
        <v>142</v>
      </c>
      <c r="B831" s="346">
        <v>906</v>
      </c>
      <c r="C831" s="347" t="s">
        <v>279</v>
      </c>
      <c r="D831" s="347" t="s">
        <v>234</v>
      </c>
      <c r="E831" s="347" t="s">
        <v>1584</v>
      </c>
      <c r="F831" s="347" t="s">
        <v>143</v>
      </c>
      <c r="G831" s="321">
        <f>G832</f>
        <v>44.809750000000001</v>
      </c>
      <c r="H831" s="321">
        <f t="shared" si="413"/>
        <v>44.809750000000001</v>
      </c>
      <c r="I831" s="321">
        <f t="shared" si="390"/>
        <v>100</v>
      </c>
    </row>
    <row r="832" spans="1:9" s="310" customFormat="1" ht="31.5" x14ac:dyDescent="0.25">
      <c r="A832" s="349" t="s">
        <v>144</v>
      </c>
      <c r="B832" s="346">
        <v>906</v>
      </c>
      <c r="C832" s="347" t="s">
        <v>279</v>
      </c>
      <c r="D832" s="347" t="s">
        <v>234</v>
      </c>
      <c r="E832" s="347" t="s">
        <v>1584</v>
      </c>
      <c r="F832" s="347" t="s">
        <v>145</v>
      </c>
      <c r="G832" s="321">
        <f>44.80975</f>
        <v>44.809750000000001</v>
      </c>
      <c r="H832" s="321">
        <v>44.809750000000001</v>
      </c>
      <c r="I832" s="321">
        <f t="shared" si="390"/>
        <v>100</v>
      </c>
    </row>
    <row r="833" spans="1:9" ht="15.75" x14ac:dyDescent="0.25">
      <c r="A833" s="318" t="s">
        <v>156</v>
      </c>
      <c r="B833" s="315">
        <v>906</v>
      </c>
      <c r="C833" s="319" t="s">
        <v>279</v>
      </c>
      <c r="D833" s="319" t="s">
        <v>234</v>
      </c>
      <c r="E833" s="319" t="s">
        <v>910</v>
      </c>
      <c r="F833" s="319"/>
      <c r="G833" s="317">
        <f>G834+G838</f>
        <v>14446.497999999998</v>
      </c>
      <c r="H833" s="317">
        <f t="shared" ref="H833" si="414">H834+H838</f>
        <v>13719.851070000001</v>
      </c>
      <c r="I833" s="317">
        <f t="shared" si="390"/>
        <v>94.970082507193112</v>
      </c>
    </row>
    <row r="834" spans="1:9" s="211" customFormat="1" ht="31.5" x14ac:dyDescent="0.25">
      <c r="A834" s="318" t="s">
        <v>914</v>
      </c>
      <c r="B834" s="315">
        <v>906</v>
      </c>
      <c r="C834" s="319" t="s">
        <v>279</v>
      </c>
      <c r="D834" s="319" t="s">
        <v>234</v>
      </c>
      <c r="E834" s="319" t="s">
        <v>909</v>
      </c>
      <c r="F834" s="319"/>
      <c r="G834" s="317">
        <f>G835</f>
        <v>420.005</v>
      </c>
      <c r="H834" s="317">
        <f t="shared" ref="H834:H836" si="415">H835</f>
        <v>411.07342999999997</v>
      </c>
      <c r="I834" s="317">
        <f t="shared" si="390"/>
        <v>97.873461030225826</v>
      </c>
    </row>
    <row r="835" spans="1:9" ht="15.75" x14ac:dyDescent="0.25">
      <c r="A835" s="349" t="s">
        <v>493</v>
      </c>
      <c r="B835" s="346">
        <v>906</v>
      </c>
      <c r="C835" s="347" t="s">
        <v>279</v>
      </c>
      <c r="D835" s="347" t="s">
        <v>234</v>
      </c>
      <c r="E835" s="347" t="s">
        <v>1058</v>
      </c>
      <c r="F835" s="347"/>
      <c r="G835" s="321">
        <f>G836</f>
        <v>420.005</v>
      </c>
      <c r="H835" s="321">
        <f t="shared" si="415"/>
        <v>411.07342999999997</v>
      </c>
      <c r="I835" s="321">
        <f t="shared" si="390"/>
        <v>97.873461030225826</v>
      </c>
    </row>
    <row r="836" spans="1:9" ht="31.5" x14ac:dyDescent="0.25">
      <c r="A836" s="349" t="s">
        <v>146</v>
      </c>
      <c r="B836" s="346">
        <v>906</v>
      </c>
      <c r="C836" s="347" t="s">
        <v>279</v>
      </c>
      <c r="D836" s="347" t="s">
        <v>234</v>
      </c>
      <c r="E836" s="347" t="s">
        <v>1058</v>
      </c>
      <c r="F836" s="347" t="s">
        <v>147</v>
      </c>
      <c r="G836" s="321">
        <f>G837</f>
        <v>420.005</v>
      </c>
      <c r="H836" s="321">
        <f t="shared" si="415"/>
        <v>411.07342999999997</v>
      </c>
      <c r="I836" s="321">
        <f t="shared" si="390"/>
        <v>97.873461030225826</v>
      </c>
    </row>
    <row r="837" spans="1:9" ht="31.5" x14ac:dyDescent="0.25">
      <c r="A837" s="349" t="s">
        <v>148</v>
      </c>
      <c r="B837" s="346">
        <v>906</v>
      </c>
      <c r="C837" s="347" t="s">
        <v>279</v>
      </c>
      <c r="D837" s="347" t="s">
        <v>234</v>
      </c>
      <c r="E837" s="347" t="s">
        <v>1058</v>
      </c>
      <c r="F837" s="347" t="s">
        <v>149</v>
      </c>
      <c r="G837" s="321">
        <f>300+250-129.995</f>
        <v>420.005</v>
      </c>
      <c r="H837" s="321">
        <v>411.07342999999997</v>
      </c>
      <c r="I837" s="321">
        <f t="shared" si="390"/>
        <v>97.873461030225826</v>
      </c>
    </row>
    <row r="838" spans="1:9" s="211" customFormat="1" ht="31.5" x14ac:dyDescent="0.25">
      <c r="A838" s="318" t="s">
        <v>1000</v>
      </c>
      <c r="B838" s="315">
        <v>906</v>
      </c>
      <c r="C838" s="319" t="s">
        <v>279</v>
      </c>
      <c r="D838" s="319" t="s">
        <v>234</v>
      </c>
      <c r="E838" s="319" t="s">
        <v>985</v>
      </c>
      <c r="F838" s="319"/>
      <c r="G838" s="317">
        <f>G839+G846</f>
        <v>14026.492999999999</v>
      </c>
      <c r="H838" s="317">
        <f t="shared" ref="H838" si="416">H839+H846</f>
        <v>13308.77764</v>
      </c>
      <c r="I838" s="317">
        <f t="shared" si="390"/>
        <v>94.883144632090151</v>
      </c>
    </row>
    <row r="839" spans="1:9" ht="31.5" x14ac:dyDescent="0.25">
      <c r="A839" s="349" t="s">
        <v>1276</v>
      </c>
      <c r="B839" s="346">
        <v>906</v>
      </c>
      <c r="C839" s="347" t="s">
        <v>279</v>
      </c>
      <c r="D839" s="347" t="s">
        <v>234</v>
      </c>
      <c r="E839" s="347" t="s">
        <v>986</v>
      </c>
      <c r="F839" s="347"/>
      <c r="G839" s="321">
        <f>G840+G842+G844</f>
        <v>13777.199999999999</v>
      </c>
      <c r="H839" s="321">
        <f t="shared" ref="H839" si="417">H840+H842+H844</f>
        <v>13059.484640000001</v>
      </c>
      <c r="I839" s="321">
        <f t="shared" si="390"/>
        <v>94.79055715239673</v>
      </c>
    </row>
    <row r="840" spans="1:9" ht="61.5" customHeight="1" x14ac:dyDescent="0.25">
      <c r="A840" s="349" t="s">
        <v>142</v>
      </c>
      <c r="B840" s="346">
        <v>906</v>
      </c>
      <c r="C840" s="347" t="s">
        <v>279</v>
      </c>
      <c r="D840" s="347" t="s">
        <v>234</v>
      </c>
      <c r="E840" s="347" t="s">
        <v>986</v>
      </c>
      <c r="F840" s="347" t="s">
        <v>143</v>
      </c>
      <c r="G840" s="321">
        <f>G841</f>
        <v>12685.199999999999</v>
      </c>
      <c r="H840" s="321">
        <f t="shared" ref="H840" si="418">H841</f>
        <v>12166.06221</v>
      </c>
      <c r="I840" s="321">
        <f t="shared" si="390"/>
        <v>95.907531690473945</v>
      </c>
    </row>
    <row r="841" spans="1:9" ht="15.75" x14ac:dyDescent="0.25">
      <c r="A841" s="349" t="s">
        <v>357</v>
      </c>
      <c r="B841" s="346">
        <v>906</v>
      </c>
      <c r="C841" s="347" t="s">
        <v>279</v>
      </c>
      <c r="D841" s="347" t="s">
        <v>234</v>
      </c>
      <c r="E841" s="347" t="s">
        <v>986</v>
      </c>
      <c r="F841" s="347" t="s">
        <v>224</v>
      </c>
      <c r="G841" s="339">
        <f>12517+180.9+25.3+12-50</f>
        <v>12685.199999999999</v>
      </c>
      <c r="H841" s="339">
        <v>12166.06221</v>
      </c>
      <c r="I841" s="321">
        <f t="shared" ref="I841:I904" si="419">H841/G841*100</f>
        <v>95.907531690473945</v>
      </c>
    </row>
    <row r="842" spans="1:9" ht="31.5" x14ac:dyDescent="0.25">
      <c r="A842" s="349" t="s">
        <v>146</v>
      </c>
      <c r="B842" s="346">
        <v>906</v>
      </c>
      <c r="C842" s="347" t="s">
        <v>279</v>
      </c>
      <c r="D842" s="347" t="s">
        <v>234</v>
      </c>
      <c r="E842" s="347" t="s">
        <v>986</v>
      </c>
      <c r="F842" s="347" t="s">
        <v>147</v>
      </c>
      <c r="G842" s="321">
        <f>G843</f>
        <v>1077</v>
      </c>
      <c r="H842" s="321">
        <f t="shared" ref="H842" si="420">H843</f>
        <v>892.11496</v>
      </c>
      <c r="I842" s="321">
        <f t="shared" si="419"/>
        <v>82.833329619312906</v>
      </c>
    </row>
    <row r="843" spans="1:9" ht="33" customHeight="1" x14ac:dyDescent="0.25">
      <c r="A843" s="349" t="s">
        <v>148</v>
      </c>
      <c r="B843" s="346">
        <v>906</v>
      </c>
      <c r="C843" s="347" t="s">
        <v>279</v>
      </c>
      <c r="D843" s="347" t="s">
        <v>234</v>
      </c>
      <c r="E843" s="347" t="s">
        <v>986</v>
      </c>
      <c r="F843" s="347" t="s">
        <v>149</v>
      </c>
      <c r="G843" s="321">
        <f>1077</f>
        <v>1077</v>
      </c>
      <c r="H843" s="321">
        <v>892.11496</v>
      </c>
      <c r="I843" s="321">
        <f t="shared" si="419"/>
        <v>82.833329619312906</v>
      </c>
    </row>
    <row r="844" spans="1:9" ht="15.75" x14ac:dyDescent="0.25">
      <c r="A844" s="349" t="s">
        <v>150</v>
      </c>
      <c r="B844" s="346">
        <v>906</v>
      </c>
      <c r="C844" s="347" t="s">
        <v>279</v>
      </c>
      <c r="D844" s="347" t="s">
        <v>234</v>
      </c>
      <c r="E844" s="347" t="s">
        <v>986</v>
      </c>
      <c r="F844" s="347" t="s">
        <v>160</v>
      </c>
      <c r="G844" s="321">
        <f>G845</f>
        <v>15</v>
      </c>
      <c r="H844" s="321">
        <f t="shared" ref="H844" si="421">H845</f>
        <v>1.3074699999999999</v>
      </c>
      <c r="I844" s="321">
        <f t="shared" si="419"/>
        <v>8.7164666666666655</v>
      </c>
    </row>
    <row r="845" spans="1:9" ht="15.75" x14ac:dyDescent="0.25">
      <c r="A845" s="349" t="s">
        <v>583</v>
      </c>
      <c r="B845" s="346">
        <v>906</v>
      </c>
      <c r="C845" s="347" t="s">
        <v>279</v>
      </c>
      <c r="D845" s="347" t="s">
        <v>234</v>
      </c>
      <c r="E845" s="347" t="s">
        <v>986</v>
      </c>
      <c r="F845" s="347" t="s">
        <v>153</v>
      </c>
      <c r="G845" s="321">
        <f>15.4-0.4</f>
        <v>15</v>
      </c>
      <c r="H845" s="321">
        <v>1.3074699999999999</v>
      </c>
      <c r="I845" s="321">
        <f t="shared" si="419"/>
        <v>8.7164666666666655</v>
      </c>
    </row>
    <row r="846" spans="1:9" s="211" customFormat="1" ht="31.5" x14ac:dyDescent="0.25">
      <c r="A846" s="349" t="s">
        <v>883</v>
      </c>
      <c r="B846" s="346">
        <v>906</v>
      </c>
      <c r="C846" s="347" t="s">
        <v>279</v>
      </c>
      <c r="D846" s="347" t="s">
        <v>234</v>
      </c>
      <c r="E846" s="347" t="s">
        <v>987</v>
      </c>
      <c r="F846" s="347"/>
      <c r="G846" s="321">
        <f>G847</f>
        <v>249.29300000000001</v>
      </c>
      <c r="H846" s="321">
        <f t="shared" ref="H846:H847" si="422">H847</f>
        <v>249.29300000000001</v>
      </c>
      <c r="I846" s="321">
        <f t="shared" si="419"/>
        <v>100</v>
      </c>
    </row>
    <row r="847" spans="1:9" s="211" customFormat="1" ht="78.75" x14ac:dyDescent="0.25">
      <c r="A847" s="349" t="s">
        <v>142</v>
      </c>
      <c r="B847" s="346">
        <v>906</v>
      </c>
      <c r="C847" s="347" t="s">
        <v>279</v>
      </c>
      <c r="D847" s="347" t="s">
        <v>234</v>
      </c>
      <c r="E847" s="347" t="s">
        <v>987</v>
      </c>
      <c r="F847" s="347" t="s">
        <v>143</v>
      </c>
      <c r="G847" s="321">
        <f>G848</f>
        <v>249.29300000000001</v>
      </c>
      <c r="H847" s="321">
        <f t="shared" si="422"/>
        <v>249.29300000000001</v>
      </c>
      <c r="I847" s="321">
        <f t="shared" si="419"/>
        <v>100</v>
      </c>
    </row>
    <row r="848" spans="1:9" s="211" customFormat="1" ht="15.75" x14ac:dyDescent="0.25">
      <c r="A848" s="349" t="s">
        <v>357</v>
      </c>
      <c r="B848" s="346">
        <v>906</v>
      </c>
      <c r="C848" s="347" t="s">
        <v>279</v>
      </c>
      <c r="D848" s="347" t="s">
        <v>234</v>
      </c>
      <c r="E848" s="347" t="s">
        <v>987</v>
      </c>
      <c r="F848" s="347" t="s">
        <v>224</v>
      </c>
      <c r="G848" s="321">
        <f>336-86.707</f>
        <v>249.29300000000001</v>
      </c>
      <c r="H848" s="321">
        <v>249.29300000000001</v>
      </c>
      <c r="I848" s="321">
        <f t="shared" si="419"/>
        <v>100</v>
      </c>
    </row>
    <row r="849" spans="1:9" ht="36.75" customHeight="1" x14ac:dyDescent="0.25">
      <c r="A849" s="315" t="s">
        <v>495</v>
      </c>
      <c r="B849" s="315">
        <v>907</v>
      </c>
      <c r="C849" s="347"/>
      <c r="D849" s="347"/>
      <c r="E849" s="347"/>
      <c r="F849" s="347"/>
      <c r="G849" s="317">
        <f>G857+G850</f>
        <v>65826.208149999991</v>
      </c>
      <c r="H849" s="317">
        <f t="shared" ref="H849" si="423">H857+H850</f>
        <v>65532.30128</v>
      </c>
      <c r="I849" s="317">
        <f t="shared" si="419"/>
        <v>99.55351086100805</v>
      </c>
    </row>
    <row r="850" spans="1:9" s="211" customFormat="1" ht="18.75" customHeight="1" x14ac:dyDescent="0.25">
      <c r="A850" s="318" t="s">
        <v>132</v>
      </c>
      <c r="B850" s="315">
        <v>907</v>
      </c>
      <c r="C850" s="319" t="s">
        <v>133</v>
      </c>
      <c r="D850" s="319"/>
      <c r="E850" s="319"/>
      <c r="F850" s="319"/>
      <c r="G850" s="317">
        <f t="shared" ref="G850:G851" si="424">G851</f>
        <v>70</v>
      </c>
      <c r="H850" s="317">
        <f t="shared" ref="H850:H855" si="425">H851</f>
        <v>70</v>
      </c>
      <c r="I850" s="317">
        <f t="shared" si="419"/>
        <v>100</v>
      </c>
    </row>
    <row r="851" spans="1:9" s="211" customFormat="1" ht="21.75" customHeight="1" x14ac:dyDescent="0.25">
      <c r="A851" s="34" t="s">
        <v>154</v>
      </c>
      <c r="B851" s="315">
        <v>907</v>
      </c>
      <c r="C851" s="319" t="s">
        <v>133</v>
      </c>
      <c r="D851" s="319" t="s">
        <v>155</v>
      </c>
      <c r="E851" s="319"/>
      <c r="F851" s="319"/>
      <c r="G851" s="317">
        <f t="shared" si="424"/>
        <v>70</v>
      </c>
      <c r="H851" s="317">
        <f t="shared" si="425"/>
        <v>70</v>
      </c>
      <c r="I851" s="317">
        <f t="shared" si="419"/>
        <v>100</v>
      </c>
    </row>
    <row r="852" spans="1:9" s="211" customFormat="1" ht="56.25" customHeight="1" x14ac:dyDescent="0.25">
      <c r="A852" s="318" t="s">
        <v>349</v>
      </c>
      <c r="B852" s="315">
        <v>907</v>
      </c>
      <c r="C852" s="319" t="s">
        <v>133</v>
      </c>
      <c r="D852" s="319" t="s">
        <v>155</v>
      </c>
      <c r="E852" s="319" t="s">
        <v>350</v>
      </c>
      <c r="F852" s="319"/>
      <c r="G852" s="317">
        <f>G853</f>
        <v>70</v>
      </c>
      <c r="H852" s="317">
        <f t="shared" si="425"/>
        <v>70</v>
      </c>
      <c r="I852" s="317">
        <f t="shared" si="419"/>
        <v>100</v>
      </c>
    </row>
    <row r="853" spans="1:9" s="211" customFormat="1" ht="36.75" customHeight="1" x14ac:dyDescent="0.25">
      <c r="A853" s="218" t="s">
        <v>1223</v>
      </c>
      <c r="B853" s="315">
        <v>907</v>
      </c>
      <c r="C853" s="319" t="s">
        <v>133</v>
      </c>
      <c r="D853" s="319" t="s">
        <v>155</v>
      </c>
      <c r="E853" s="319" t="s">
        <v>1224</v>
      </c>
      <c r="F853" s="319"/>
      <c r="G853" s="317">
        <f>G854</f>
        <v>70</v>
      </c>
      <c r="H853" s="317">
        <f t="shared" si="425"/>
        <v>70</v>
      </c>
      <c r="I853" s="317">
        <f t="shared" si="419"/>
        <v>100</v>
      </c>
    </row>
    <row r="854" spans="1:9" s="211" customFormat="1" ht="31.9" customHeight="1" x14ac:dyDescent="0.25">
      <c r="A854" s="98" t="s">
        <v>351</v>
      </c>
      <c r="B854" s="346">
        <v>907</v>
      </c>
      <c r="C854" s="347" t="s">
        <v>133</v>
      </c>
      <c r="D854" s="347" t="s">
        <v>155</v>
      </c>
      <c r="E854" s="347" t="s">
        <v>1225</v>
      </c>
      <c r="F854" s="347"/>
      <c r="G854" s="321">
        <f>G855</f>
        <v>70</v>
      </c>
      <c r="H854" s="321">
        <f t="shared" si="425"/>
        <v>70</v>
      </c>
      <c r="I854" s="321">
        <f t="shared" si="419"/>
        <v>100</v>
      </c>
    </row>
    <row r="855" spans="1:9" s="211" customFormat="1" ht="31.9" customHeight="1" x14ac:dyDescent="0.25">
      <c r="A855" s="349" t="s">
        <v>146</v>
      </c>
      <c r="B855" s="346">
        <v>907</v>
      </c>
      <c r="C855" s="347" t="s">
        <v>133</v>
      </c>
      <c r="D855" s="347" t="s">
        <v>155</v>
      </c>
      <c r="E855" s="347" t="s">
        <v>1225</v>
      </c>
      <c r="F855" s="347" t="s">
        <v>147</v>
      </c>
      <c r="G855" s="321">
        <f>G856</f>
        <v>70</v>
      </c>
      <c r="H855" s="321">
        <f t="shared" si="425"/>
        <v>70</v>
      </c>
      <c r="I855" s="321">
        <f t="shared" si="419"/>
        <v>100</v>
      </c>
    </row>
    <row r="856" spans="1:9" s="211" customFormat="1" ht="36.75" customHeight="1" x14ac:dyDescent="0.25">
      <c r="A856" s="349" t="s">
        <v>148</v>
      </c>
      <c r="B856" s="346">
        <v>907</v>
      </c>
      <c r="C856" s="347" t="s">
        <v>133</v>
      </c>
      <c r="D856" s="347" t="s">
        <v>155</v>
      </c>
      <c r="E856" s="347" t="s">
        <v>1225</v>
      </c>
      <c r="F856" s="347" t="s">
        <v>149</v>
      </c>
      <c r="G856" s="321">
        <v>70</v>
      </c>
      <c r="H856" s="321">
        <v>70</v>
      </c>
      <c r="I856" s="321">
        <f t="shared" si="419"/>
        <v>100</v>
      </c>
    </row>
    <row r="857" spans="1:9" ht="15.75" x14ac:dyDescent="0.25">
      <c r="A857" s="318" t="s">
        <v>505</v>
      </c>
      <c r="B857" s="315">
        <v>907</v>
      </c>
      <c r="C857" s="319" t="s">
        <v>506</v>
      </c>
      <c r="D857" s="347"/>
      <c r="E857" s="347"/>
      <c r="F857" s="347"/>
      <c r="G857" s="317">
        <f>G858+G920</f>
        <v>65756.208149999991</v>
      </c>
      <c r="H857" s="317">
        <f t="shared" ref="H857" si="426">H858+H920</f>
        <v>65462.30128</v>
      </c>
      <c r="I857" s="317">
        <f t="shared" si="419"/>
        <v>99.553035556232885</v>
      </c>
    </row>
    <row r="858" spans="1:9" s="211" customFormat="1" ht="15.75" x14ac:dyDescent="0.25">
      <c r="A858" s="318" t="s">
        <v>507</v>
      </c>
      <c r="B858" s="315">
        <v>907</v>
      </c>
      <c r="C858" s="319" t="s">
        <v>506</v>
      </c>
      <c r="D858" s="319" t="s">
        <v>133</v>
      </c>
      <c r="E858" s="347"/>
      <c r="F858" s="347"/>
      <c r="G858" s="317">
        <f>G863+G915+G910</f>
        <v>54095.200399999994</v>
      </c>
      <c r="H858" s="317">
        <f t="shared" ref="H858" si="427">H863+H915+H910</f>
        <v>53888.608500000002</v>
      </c>
      <c r="I858" s="317">
        <f t="shared" si="419"/>
        <v>99.618095693384305</v>
      </c>
    </row>
    <row r="859" spans="1:9" s="211" customFormat="1" ht="47.25" hidden="1" x14ac:dyDescent="0.25">
      <c r="A859" s="318" t="s">
        <v>1169</v>
      </c>
      <c r="B859" s="315">
        <v>907</v>
      </c>
      <c r="C859" s="319" t="s">
        <v>506</v>
      </c>
      <c r="D859" s="319" t="s">
        <v>133</v>
      </c>
      <c r="E859" s="319" t="s">
        <v>1114</v>
      </c>
      <c r="F859" s="347"/>
      <c r="G859" s="317">
        <f>G860</f>
        <v>0</v>
      </c>
      <c r="H859" s="317">
        <f t="shared" ref="H859:H861" si="428">H860</f>
        <v>0</v>
      </c>
      <c r="I859" s="317" t="e">
        <f t="shared" si="419"/>
        <v>#DIV/0!</v>
      </c>
    </row>
    <row r="860" spans="1:9" s="211" customFormat="1" ht="31.5" hidden="1" x14ac:dyDescent="0.25">
      <c r="A860" s="349" t="s">
        <v>1494</v>
      </c>
      <c r="B860" s="346">
        <v>907</v>
      </c>
      <c r="C860" s="347" t="s">
        <v>506</v>
      </c>
      <c r="D860" s="347" t="s">
        <v>133</v>
      </c>
      <c r="E860" s="347" t="s">
        <v>1493</v>
      </c>
      <c r="F860" s="347"/>
      <c r="G860" s="321">
        <f>G861</f>
        <v>0</v>
      </c>
      <c r="H860" s="321">
        <f t="shared" si="428"/>
        <v>0</v>
      </c>
      <c r="I860" s="317" t="e">
        <f t="shared" si="419"/>
        <v>#DIV/0!</v>
      </c>
    </row>
    <row r="861" spans="1:9" s="211" customFormat="1" ht="31.5" hidden="1" x14ac:dyDescent="0.25">
      <c r="A861" s="349" t="s">
        <v>146</v>
      </c>
      <c r="B861" s="346">
        <v>907</v>
      </c>
      <c r="C861" s="347" t="s">
        <v>506</v>
      </c>
      <c r="D861" s="347" t="s">
        <v>133</v>
      </c>
      <c r="E861" s="347" t="s">
        <v>1493</v>
      </c>
      <c r="F861" s="347" t="s">
        <v>147</v>
      </c>
      <c r="G861" s="321">
        <f>G862</f>
        <v>0</v>
      </c>
      <c r="H861" s="321">
        <f t="shared" si="428"/>
        <v>0</v>
      </c>
      <c r="I861" s="317" t="e">
        <f t="shared" si="419"/>
        <v>#DIV/0!</v>
      </c>
    </row>
    <row r="862" spans="1:9" s="211" customFormat="1" ht="31.5" hidden="1" x14ac:dyDescent="0.25">
      <c r="A862" s="349" t="s">
        <v>148</v>
      </c>
      <c r="B862" s="346">
        <v>907</v>
      </c>
      <c r="C862" s="347" t="s">
        <v>506</v>
      </c>
      <c r="D862" s="347" t="s">
        <v>133</v>
      </c>
      <c r="E862" s="347" t="s">
        <v>1493</v>
      </c>
      <c r="F862" s="347" t="s">
        <v>149</v>
      </c>
      <c r="G862" s="321">
        <v>0</v>
      </c>
      <c r="H862" s="321">
        <v>0</v>
      </c>
      <c r="I862" s="317" t="e">
        <f t="shared" si="419"/>
        <v>#DIV/0!</v>
      </c>
    </row>
    <row r="863" spans="1:9" s="211" customFormat="1" ht="47.25" x14ac:dyDescent="0.25">
      <c r="A863" s="318" t="s">
        <v>496</v>
      </c>
      <c r="B863" s="315">
        <v>907</v>
      </c>
      <c r="C863" s="319" t="s">
        <v>506</v>
      </c>
      <c r="D863" s="319" t="s">
        <v>133</v>
      </c>
      <c r="E863" s="319" t="s">
        <v>497</v>
      </c>
      <c r="F863" s="319"/>
      <c r="G863" s="317">
        <f>G864</f>
        <v>53494.700399999994</v>
      </c>
      <c r="H863" s="317">
        <f t="shared" ref="H863" si="429">H864</f>
        <v>53312.767500000002</v>
      </c>
      <c r="I863" s="317">
        <f t="shared" si="419"/>
        <v>99.6599048155432</v>
      </c>
    </row>
    <row r="864" spans="1:9" ht="47.25" x14ac:dyDescent="0.25">
      <c r="A864" s="318" t="s">
        <v>508</v>
      </c>
      <c r="B864" s="315">
        <v>907</v>
      </c>
      <c r="C864" s="319" t="s">
        <v>506</v>
      </c>
      <c r="D864" s="319" t="s">
        <v>133</v>
      </c>
      <c r="E864" s="319" t="s">
        <v>509</v>
      </c>
      <c r="F864" s="319"/>
      <c r="G864" s="317">
        <f>G865+G875+G885+G892+G899+G903</f>
        <v>53494.700399999994</v>
      </c>
      <c r="H864" s="317">
        <f t="shared" ref="H864" si="430">H865+H875+H885+H892+H899+H903</f>
        <v>53312.767500000002</v>
      </c>
      <c r="I864" s="317">
        <f t="shared" si="419"/>
        <v>99.6599048155432</v>
      </c>
    </row>
    <row r="865" spans="1:9" ht="31.5" x14ac:dyDescent="0.25">
      <c r="A865" s="318" t="s">
        <v>1026</v>
      </c>
      <c r="B865" s="315">
        <v>907</v>
      </c>
      <c r="C865" s="319" t="s">
        <v>506</v>
      </c>
      <c r="D865" s="319" t="s">
        <v>133</v>
      </c>
      <c r="E865" s="319" t="s">
        <v>1059</v>
      </c>
      <c r="F865" s="319"/>
      <c r="G865" s="317">
        <f>G866+G869+G872</f>
        <v>45686.369999999995</v>
      </c>
      <c r="H865" s="317">
        <f t="shared" ref="H865" si="431">H866+H869+H872</f>
        <v>45647.287510000002</v>
      </c>
      <c r="I865" s="317">
        <f t="shared" si="419"/>
        <v>99.914454814422783</v>
      </c>
    </row>
    <row r="866" spans="1:9" ht="47.25" x14ac:dyDescent="0.25">
      <c r="A866" s="349" t="s">
        <v>1455</v>
      </c>
      <c r="B866" s="346">
        <v>907</v>
      </c>
      <c r="C866" s="347" t="s">
        <v>506</v>
      </c>
      <c r="D866" s="347" t="s">
        <v>133</v>
      </c>
      <c r="E866" s="347" t="s">
        <v>1069</v>
      </c>
      <c r="F866" s="347"/>
      <c r="G866" s="321">
        <f>G867</f>
        <v>12845.420000000002</v>
      </c>
      <c r="H866" s="321">
        <f t="shared" ref="H866:H867" si="432">H867</f>
        <v>12832.99034</v>
      </c>
      <c r="I866" s="321">
        <f t="shared" si="419"/>
        <v>99.903236639985295</v>
      </c>
    </row>
    <row r="867" spans="1:9" ht="36" customHeight="1" x14ac:dyDescent="0.25">
      <c r="A867" s="349" t="s">
        <v>287</v>
      </c>
      <c r="B867" s="346">
        <v>907</v>
      </c>
      <c r="C867" s="347" t="s">
        <v>506</v>
      </c>
      <c r="D867" s="347" t="s">
        <v>133</v>
      </c>
      <c r="E867" s="347" t="s">
        <v>1069</v>
      </c>
      <c r="F867" s="347" t="s">
        <v>288</v>
      </c>
      <c r="G867" s="321">
        <f>G868</f>
        <v>12845.420000000002</v>
      </c>
      <c r="H867" s="321">
        <f t="shared" si="432"/>
        <v>12832.99034</v>
      </c>
      <c r="I867" s="321">
        <f t="shared" si="419"/>
        <v>99.903236639985295</v>
      </c>
    </row>
    <row r="868" spans="1:9" ht="15.75" x14ac:dyDescent="0.25">
      <c r="A868" s="349" t="s">
        <v>289</v>
      </c>
      <c r="B868" s="346">
        <v>907</v>
      </c>
      <c r="C868" s="347" t="s">
        <v>506</v>
      </c>
      <c r="D868" s="347" t="s">
        <v>133</v>
      </c>
      <c r="E868" s="347" t="s">
        <v>1069</v>
      </c>
      <c r="F868" s="347" t="s">
        <v>290</v>
      </c>
      <c r="G868" s="339">
        <f>12832.4-0.4+776-500-55.5-89.3+100-5.3-40.23+110.3-169.9-56.45-35.3-6-11.5-3.4</f>
        <v>12845.420000000002</v>
      </c>
      <c r="H868" s="339">
        <v>12832.99034</v>
      </c>
      <c r="I868" s="321">
        <f t="shared" si="419"/>
        <v>99.903236639985295</v>
      </c>
    </row>
    <row r="869" spans="1:9" s="211" customFormat="1" ht="47.25" x14ac:dyDescent="0.25">
      <c r="A869" s="349" t="s">
        <v>1453</v>
      </c>
      <c r="B869" s="346">
        <v>907</v>
      </c>
      <c r="C869" s="347" t="s">
        <v>506</v>
      </c>
      <c r="D869" s="347" t="s">
        <v>133</v>
      </c>
      <c r="E869" s="347" t="s">
        <v>1070</v>
      </c>
      <c r="F869" s="347"/>
      <c r="G869" s="321">
        <f>G870</f>
        <v>14212.149999999998</v>
      </c>
      <c r="H869" s="321">
        <f t="shared" ref="H869:H870" si="433">H870</f>
        <v>14185.497230000001</v>
      </c>
      <c r="I869" s="321">
        <f t="shared" si="419"/>
        <v>99.812464897992243</v>
      </c>
    </row>
    <row r="870" spans="1:9" s="211" customFormat="1" ht="31.5" x14ac:dyDescent="0.25">
      <c r="A870" s="349" t="s">
        <v>287</v>
      </c>
      <c r="B870" s="346">
        <v>907</v>
      </c>
      <c r="C870" s="347" t="s">
        <v>506</v>
      </c>
      <c r="D870" s="347" t="s">
        <v>133</v>
      </c>
      <c r="E870" s="347" t="s">
        <v>1070</v>
      </c>
      <c r="F870" s="347" t="s">
        <v>288</v>
      </c>
      <c r="G870" s="321">
        <f>G871</f>
        <v>14212.149999999998</v>
      </c>
      <c r="H870" s="321">
        <f t="shared" si="433"/>
        <v>14185.497230000001</v>
      </c>
      <c r="I870" s="321">
        <f t="shared" si="419"/>
        <v>99.812464897992243</v>
      </c>
    </row>
    <row r="871" spans="1:9" s="211" customFormat="1" ht="15.75" x14ac:dyDescent="0.25">
      <c r="A871" s="349" t="s">
        <v>289</v>
      </c>
      <c r="B871" s="346">
        <v>907</v>
      </c>
      <c r="C871" s="347" t="s">
        <v>506</v>
      </c>
      <c r="D871" s="347" t="s">
        <v>133</v>
      </c>
      <c r="E871" s="347" t="s">
        <v>1070</v>
      </c>
      <c r="F871" s="347" t="s">
        <v>290</v>
      </c>
      <c r="G871" s="321">
        <f>12897+253.9+89.3+50+100+70+405+163.75+189.4-6.2</f>
        <v>14212.149999999998</v>
      </c>
      <c r="H871" s="321">
        <v>14185.497230000001</v>
      </c>
      <c r="I871" s="321">
        <f t="shared" si="419"/>
        <v>99.812464897992243</v>
      </c>
    </row>
    <row r="872" spans="1:9" s="211" customFormat="1" ht="47.25" x14ac:dyDescent="0.25">
      <c r="A872" s="349" t="s">
        <v>1454</v>
      </c>
      <c r="B872" s="346">
        <v>907</v>
      </c>
      <c r="C872" s="347" t="s">
        <v>506</v>
      </c>
      <c r="D872" s="347" t="s">
        <v>133</v>
      </c>
      <c r="E872" s="347" t="s">
        <v>1071</v>
      </c>
      <c r="F872" s="347"/>
      <c r="G872" s="321">
        <f>G873</f>
        <v>18628.8</v>
      </c>
      <c r="H872" s="321">
        <f t="shared" ref="H872:H873" si="434">H873</f>
        <v>18628.799940000001</v>
      </c>
      <c r="I872" s="321">
        <f t="shared" si="419"/>
        <v>99.999999677918069</v>
      </c>
    </row>
    <row r="873" spans="1:9" s="211" customFormat="1" ht="31.5" x14ac:dyDescent="0.25">
      <c r="A873" s="349" t="s">
        <v>287</v>
      </c>
      <c r="B873" s="346">
        <v>907</v>
      </c>
      <c r="C873" s="347" t="s">
        <v>506</v>
      </c>
      <c r="D873" s="347" t="s">
        <v>133</v>
      </c>
      <c r="E873" s="347" t="s">
        <v>1071</v>
      </c>
      <c r="F873" s="347" t="s">
        <v>288</v>
      </c>
      <c r="G873" s="321">
        <f>G874</f>
        <v>18628.8</v>
      </c>
      <c r="H873" s="321">
        <f t="shared" si="434"/>
        <v>18628.799940000001</v>
      </c>
      <c r="I873" s="321">
        <f t="shared" si="419"/>
        <v>99.999999677918069</v>
      </c>
    </row>
    <row r="874" spans="1:9" s="211" customFormat="1" ht="15.75" x14ac:dyDescent="0.25">
      <c r="A874" s="349" t="s">
        <v>289</v>
      </c>
      <c r="B874" s="346">
        <v>907</v>
      </c>
      <c r="C874" s="347" t="s">
        <v>506</v>
      </c>
      <c r="D874" s="347" t="s">
        <v>133</v>
      </c>
      <c r="E874" s="347" t="s">
        <v>1071</v>
      </c>
      <c r="F874" s="347" t="s">
        <v>290</v>
      </c>
      <c r="G874" s="321">
        <f>18577-50+100+50+125.6-19.5-107.3-47</f>
        <v>18628.8</v>
      </c>
      <c r="H874" s="321">
        <v>18628.799940000001</v>
      </c>
      <c r="I874" s="321">
        <f t="shared" si="419"/>
        <v>99.999999677918069</v>
      </c>
    </row>
    <row r="875" spans="1:9" s="211" customFormat="1" ht="15.75" x14ac:dyDescent="0.25">
      <c r="A875" s="318" t="s">
        <v>1072</v>
      </c>
      <c r="B875" s="315">
        <v>907</v>
      </c>
      <c r="C875" s="319" t="s">
        <v>506</v>
      </c>
      <c r="D875" s="319" t="s">
        <v>133</v>
      </c>
      <c r="E875" s="319" t="s">
        <v>1073</v>
      </c>
      <c r="F875" s="319"/>
      <c r="G875" s="44">
        <f>G876+G879+G882</f>
        <v>288</v>
      </c>
      <c r="H875" s="44">
        <f t="shared" ref="H875" si="435">H876+H879+H882</f>
        <v>288</v>
      </c>
      <c r="I875" s="317">
        <f t="shared" si="419"/>
        <v>100</v>
      </c>
    </row>
    <row r="876" spans="1:9" ht="31.7" customHeight="1" x14ac:dyDescent="0.25">
      <c r="A876" s="349" t="s">
        <v>293</v>
      </c>
      <c r="B876" s="346">
        <v>907</v>
      </c>
      <c r="C876" s="347" t="s">
        <v>506</v>
      </c>
      <c r="D876" s="347" t="s">
        <v>133</v>
      </c>
      <c r="E876" s="347" t="s">
        <v>1077</v>
      </c>
      <c r="F876" s="347"/>
      <c r="G876" s="321">
        <f>G877</f>
        <v>252</v>
      </c>
      <c r="H876" s="321">
        <f t="shared" ref="H876:H877" si="436">H877</f>
        <v>252</v>
      </c>
      <c r="I876" s="321">
        <f t="shared" si="419"/>
        <v>100</v>
      </c>
    </row>
    <row r="877" spans="1:9" ht="31.5" x14ac:dyDescent="0.25">
      <c r="A877" s="349" t="s">
        <v>287</v>
      </c>
      <c r="B877" s="346">
        <v>907</v>
      </c>
      <c r="C877" s="347" t="s">
        <v>506</v>
      </c>
      <c r="D877" s="347" t="s">
        <v>133</v>
      </c>
      <c r="E877" s="347" t="s">
        <v>1077</v>
      </c>
      <c r="F877" s="347" t="s">
        <v>288</v>
      </c>
      <c r="G877" s="321">
        <f>G878</f>
        <v>252</v>
      </c>
      <c r="H877" s="321">
        <f t="shared" si="436"/>
        <v>252</v>
      </c>
      <c r="I877" s="321">
        <f t="shared" si="419"/>
        <v>100</v>
      </c>
    </row>
    <row r="878" spans="1:9" ht="15.75" x14ac:dyDescent="0.25">
      <c r="A878" s="349" t="s">
        <v>289</v>
      </c>
      <c r="B878" s="346">
        <v>907</v>
      </c>
      <c r="C878" s="347" t="s">
        <v>506</v>
      </c>
      <c r="D878" s="347" t="s">
        <v>133</v>
      </c>
      <c r="E878" s="347" t="s">
        <v>1077</v>
      </c>
      <c r="F878" s="347" t="s">
        <v>290</v>
      </c>
      <c r="G878" s="321">
        <v>252</v>
      </c>
      <c r="H878" s="321">
        <v>252</v>
      </c>
      <c r="I878" s="321">
        <f t="shared" si="419"/>
        <v>100</v>
      </c>
    </row>
    <row r="879" spans="1:9" ht="33" hidden="1" customHeight="1" x14ac:dyDescent="0.25">
      <c r="A879" s="349" t="s">
        <v>295</v>
      </c>
      <c r="B879" s="346">
        <v>907</v>
      </c>
      <c r="C879" s="347" t="s">
        <v>506</v>
      </c>
      <c r="D879" s="347" t="s">
        <v>133</v>
      </c>
      <c r="E879" s="347" t="s">
        <v>1078</v>
      </c>
      <c r="F879" s="347"/>
      <c r="G879" s="321">
        <f>G880</f>
        <v>0</v>
      </c>
      <c r="H879" s="321">
        <f t="shared" ref="H879:H880" si="437">H880</f>
        <v>0</v>
      </c>
      <c r="I879" s="321" t="e">
        <f t="shared" si="419"/>
        <v>#DIV/0!</v>
      </c>
    </row>
    <row r="880" spans="1:9" ht="37.5" hidden="1" customHeight="1" x14ac:dyDescent="0.25">
      <c r="A880" s="349" t="s">
        <v>287</v>
      </c>
      <c r="B880" s="346">
        <v>907</v>
      </c>
      <c r="C880" s="347" t="s">
        <v>506</v>
      </c>
      <c r="D880" s="347" t="s">
        <v>133</v>
      </c>
      <c r="E880" s="347" t="s">
        <v>1078</v>
      </c>
      <c r="F880" s="347" t="s">
        <v>288</v>
      </c>
      <c r="G880" s="321">
        <f>G881</f>
        <v>0</v>
      </c>
      <c r="H880" s="321">
        <f t="shared" si="437"/>
        <v>0</v>
      </c>
      <c r="I880" s="321" t="e">
        <f t="shared" si="419"/>
        <v>#DIV/0!</v>
      </c>
    </row>
    <row r="881" spans="1:9" ht="15.75" hidden="1" customHeight="1" x14ac:dyDescent="0.25">
      <c r="A881" s="349" t="s">
        <v>289</v>
      </c>
      <c r="B881" s="346">
        <v>907</v>
      </c>
      <c r="C881" s="347" t="s">
        <v>506</v>
      </c>
      <c r="D881" s="347" t="s">
        <v>133</v>
      </c>
      <c r="E881" s="347" t="s">
        <v>1078</v>
      </c>
      <c r="F881" s="347" t="s">
        <v>290</v>
      </c>
      <c r="G881" s="321">
        <v>0</v>
      </c>
      <c r="H881" s="321">
        <v>0</v>
      </c>
      <c r="I881" s="321" t="e">
        <f t="shared" si="419"/>
        <v>#DIV/0!</v>
      </c>
    </row>
    <row r="882" spans="1:9" s="211" customFormat="1" ht="15.75" customHeight="1" x14ac:dyDescent="0.25">
      <c r="A882" s="349" t="s">
        <v>874</v>
      </c>
      <c r="B882" s="346">
        <v>907</v>
      </c>
      <c r="C882" s="347" t="s">
        <v>506</v>
      </c>
      <c r="D882" s="347" t="s">
        <v>133</v>
      </c>
      <c r="E882" s="347" t="s">
        <v>1079</v>
      </c>
      <c r="F882" s="347"/>
      <c r="G882" s="321">
        <f>G883</f>
        <v>36</v>
      </c>
      <c r="H882" s="321">
        <f t="shared" ref="H882:H883" si="438">H883</f>
        <v>36</v>
      </c>
      <c r="I882" s="321">
        <f t="shared" si="419"/>
        <v>100</v>
      </c>
    </row>
    <row r="883" spans="1:9" s="211" customFormat="1" ht="41.25" customHeight="1" x14ac:dyDescent="0.25">
      <c r="A883" s="349" t="s">
        <v>287</v>
      </c>
      <c r="B883" s="346">
        <v>907</v>
      </c>
      <c r="C883" s="347" t="s">
        <v>506</v>
      </c>
      <c r="D883" s="347" t="s">
        <v>133</v>
      </c>
      <c r="E883" s="347" t="s">
        <v>1079</v>
      </c>
      <c r="F883" s="347" t="s">
        <v>288</v>
      </c>
      <c r="G883" s="321">
        <f>G884</f>
        <v>36</v>
      </c>
      <c r="H883" s="321">
        <f t="shared" si="438"/>
        <v>36</v>
      </c>
      <c r="I883" s="321">
        <f t="shared" si="419"/>
        <v>100</v>
      </c>
    </row>
    <row r="884" spans="1:9" s="211" customFormat="1" ht="15.75" customHeight="1" x14ac:dyDescent="0.25">
      <c r="A884" s="349" t="s">
        <v>289</v>
      </c>
      <c r="B884" s="346">
        <v>907</v>
      </c>
      <c r="C884" s="347" t="s">
        <v>506</v>
      </c>
      <c r="D884" s="347" t="s">
        <v>133</v>
      </c>
      <c r="E884" s="347" t="s">
        <v>1079</v>
      </c>
      <c r="F884" s="347" t="s">
        <v>290</v>
      </c>
      <c r="G884" s="321">
        <v>36</v>
      </c>
      <c r="H884" s="321">
        <v>36</v>
      </c>
      <c r="I884" s="321">
        <f t="shared" si="419"/>
        <v>100</v>
      </c>
    </row>
    <row r="885" spans="1:9" s="211" customFormat="1" ht="35.450000000000003" customHeight="1" x14ac:dyDescent="0.25">
      <c r="A885" s="318" t="s">
        <v>1074</v>
      </c>
      <c r="B885" s="315">
        <v>907</v>
      </c>
      <c r="C885" s="319" t="s">
        <v>506</v>
      </c>
      <c r="D885" s="319" t="s">
        <v>133</v>
      </c>
      <c r="E885" s="319" t="s">
        <v>1076</v>
      </c>
      <c r="F885" s="319"/>
      <c r="G885" s="317">
        <f>G886+G889</f>
        <v>1236.0999999999999</v>
      </c>
      <c r="H885" s="317">
        <f t="shared" ref="H885" si="439">H886+H889</f>
        <v>1199.2900999999999</v>
      </c>
      <c r="I885" s="317">
        <f t="shared" si="419"/>
        <v>97.022093681740955</v>
      </c>
    </row>
    <row r="886" spans="1:9" ht="33.75" hidden="1" customHeight="1" x14ac:dyDescent="0.25">
      <c r="A886" s="349" t="s">
        <v>815</v>
      </c>
      <c r="B886" s="346">
        <v>907</v>
      </c>
      <c r="C886" s="347" t="s">
        <v>506</v>
      </c>
      <c r="D886" s="347" t="s">
        <v>133</v>
      </c>
      <c r="E886" s="347" t="s">
        <v>1080</v>
      </c>
      <c r="F886" s="347"/>
      <c r="G886" s="321">
        <f>G887</f>
        <v>0</v>
      </c>
      <c r="H886" s="321">
        <f t="shared" ref="H886:H887" si="440">H887</f>
        <v>0</v>
      </c>
      <c r="I886" s="321" t="e">
        <f t="shared" si="419"/>
        <v>#DIV/0!</v>
      </c>
    </row>
    <row r="887" spans="1:9" ht="31.5" hidden="1" x14ac:dyDescent="0.25">
      <c r="A887" s="349" t="s">
        <v>287</v>
      </c>
      <c r="B887" s="346">
        <v>907</v>
      </c>
      <c r="C887" s="347" t="s">
        <v>506</v>
      </c>
      <c r="D887" s="347" t="s">
        <v>133</v>
      </c>
      <c r="E887" s="347" t="s">
        <v>1080</v>
      </c>
      <c r="F887" s="347" t="s">
        <v>288</v>
      </c>
      <c r="G887" s="321">
        <f>G888</f>
        <v>0</v>
      </c>
      <c r="H887" s="321">
        <f t="shared" si="440"/>
        <v>0</v>
      </c>
      <c r="I887" s="321" t="e">
        <f t="shared" si="419"/>
        <v>#DIV/0!</v>
      </c>
    </row>
    <row r="888" spans="1:9" ht="15.75" hidden="1" customHeight="1" x14ac:dyDescent="0.25">
      <c r="A888" s="349" t="s">
        <v>289</v>
      </c>
      <c r="B888" s="346">
        <v>907</v>
      </c>
      <c r="C888" s="347" t="s">
        <v>506</v>
      </c>
      <c r="D888" s="347" t="s">
        <v>133</v>
      </c>
      <c r="E888" s="347" t="s">
        <v>1080</v>
      </c>
      <c r="F888" s="347" t="s">
        <v>290</v>
      </c>
      <c r="G888" s="321">
        <v>0</v>
      </c>
      <c r="H888" s="321">
        <v>0</v>
      </c>
      <c r="I888" s="321" t="e">
        <f t="shared" si="419"/>
        <v>#DIV/0!</v>
      </c>
    </row>
    <row r="889" spans="1:9" ht="34.5" customHeight="1" x14ac:dyDescent="0.25">
      <c r="A889" s="45" t="s">
        <v>785</v>
      </c>
      <c r="B889" s="346">
        <v>907</v>
      </c>
      <c r="C889" s="347" t="s">
        <v>506</v>
      </c>
      <c r="D889" s="347" t="s">
        <v>133</v>
      </c>
      <c r="E889" s="347" t="s">
        <v>1081</v>
      </c>
      <c r="F889" s="347"/>
      <c r="G889" s="321">
        <f>G890</f>
        <v>1236.0999999999999</v>
      </c>
      <c r="H889" s="321">
        <f t="shared" ref="H889:H890" si="441">H890</f>
        <v>1199.2900999999999</v>
      </c>
      <c r="I889" s="321">
        <f t="shared" si="419"/>
        <v>97.022093681740955</v>
      </c>
    </row>
    <row r="890" spans="1:9" ht="33" customHeight="1" x14ac:dyDescent="0.25">
      <c r="A890" s="31" t="s">
        <v>287</v>
      </c>
      <c r="B890" s="346">
        <v>907</v>
      </c>
      <c r="C890" s="347" t="s">
        <v>506</v>
      </c>
      <c r="D890" s="347" t="s">
        <v>133</v>
      </c>
      <c r="E890" s="347" t="s">
        <v>1081</v>
      </c>
      <c r="F890" s="347" t="s">
        <v>288</v>
      </c>
      <c r="G890" s="321">
        <f>G891</f>
        <v>1236.0999999999999</v>
      </c>
      <c r="H890" s="321">
        <f t="shared" si="441"/>
        <v>1199.2900999999999</v>
      </c>
      <c r="I890" s="321">
        <f t="shared" si="419"/>
        <v>97.022093681740955</v>
      </c>
    </row>
    <row r="891" spans="1:9" ht="15.75" customHeight="1" x14ac:dyDescent="0.25">
      <c r="A891" s="31" t="s">
        <v>289</v>
      </c>
      <c r="B891" s="346">
        <v>907</v>
      </c>
      <c r="C891" s="347" t="s">
        <v>506</v>
      </c>
      <c r="D891" s="347" t="s">
        <v>133</v>
      </c>
      <c r="E891" s="347" t="s">
        <v>1081</v>
      </c>
      <c r="F891" s="347" t="s">
        <v>290</v>
      </c>
      <c r="G891" s="321">
        <f>756+394.3+55.5+8+5.3+5+12</f>
        <v>1236.0999999999999</v>
      </c>
      <c r="H891" s="321">
        <v>1199.2900999999999</v>
      </c>
      <c r="I891" s="321">
        <f t="shared" si="419"/>
        <v>97.022093681740955</v>
      </c>
    </row>
    <row r="892" spans="1:9" s="211" customFormat="1" ht="44.45" customHeight="1" x14ac:dyDescent="0.25">
      <c r="A892" s="318" t="s">
        <v>969</v>
      </c>
      <c r="B892" s="315">
        <v>907</v>
      </c>
      <c r="C892" s="319" t="s">
        <v>506</v>
      </c>
      <c r="D892" s="319" t="s">
        <v>133</v>
      </c>
      <c r="E892" s="319" t="s">
        <v>1082</v>
      </c>
      <c r="F892" s="319"/>
      <c r="G892" s="317">
        <f>G896+G893</f>
        <v>813.5</v>
      </c>
      <c r="H892" s="317">
        <f t="shared" ref="H892" si="442">H896+H893</f>
        <v>707.47211000000004</v>
      </c>
      <c r="I892" s="317">
        <f t="shared" si="419"/>
        <v>86.96645482483099</v>
      </c>
    </row>
    <row r="893" spans="1:9" s="310" customFormat="1" ht="77.25" customHeight="1" x14ac:dyDescent="0.25">
      <c r="A893" s="31" t="s">
        <v>308</v>
      </c>
      <c r="B893" s="346">
        <v>907</v>
      </c>
      <c r="C893" s="347" t="s">
        <v>506</v>
      </c>
      <c r="D893" s="347" t="s">
        <v>133</v>
      </c>
      <c r="E893" s="347" t="s">
        <v>1509</v>
      </c>
      <c r="F893" s="347"/>
      <c r="G893" s="321">
        <f>G894</f>
        <v>813.5</v>
      </c>
      <c r="H893" s="321">
        <f t="shared" ref="H893:H894" si="443">H894</f>
        <v>707.47211000000004</v>
      </c>
      <c r="I893" s="321">
        <f t="shared" si="419"/>
        <v>86.96645482483099</v>
      </c>
    </row>
    <row r="894" spans="1:9" s="310" customFormat="1" ht="31.5" x14ac:dyDescent="0.25">
      <c r="A894" s="349" t="s">
        <v>287</v>
      </c>
      <c r="B894" s="346">
        <v>907</v>
      </c>
      <c r="C894" s="347" t="s">
        <v>506</v>
      </c>
      <c r="D894" s="347" t="s">
        <v>133</v>
      </c>
      <c r="E894" s="347" t="s">
        <v>1509</v>
      </c>
      <c r="F894" s="347" t="s">
        <v>288</v>
      </c>
      <c r="G894" s="321">
        <f>G895</f>
        <v>813.5</v>
      </c>
      <c r="H894" s="321">
        <f t="shared" si="443"/>
        <v>707.47211000000004</v>
      </c>
      <c r="I894" s="321">
        <f t="shared" si="419"/>
        <v>86.96645482483099</v>
      </c>
    </row>
    <row r="895" spans="1:9" s="310" customFormat="1" ht="15.75" x14ac:dyDescent="0.25">
      <c r="A895" s="349" t="s">
        <v>289</v>
      </c>
      <c r="B895" s="346">
        <v>907</v>
      </c>
      <c r="C895" s="347" t="s">
        <v>506</v>
      </c>
      <c r="D895" s="347" t="s">
        <v>133</v>
      </c>
      <c r="E895" s="347" t="s">
        <v>1509</v>
      </c>
      <c r="F895" s="347" t="s">
        <v>290</v>
      </c>
      <c r="G895" s="321">
        <v>813.5</v>
      </c>
      <c r="H895" s="321">
        <v>707.47211000000004</v>
      </c>
      <c r="I895" s="321">
        <f t="shared" si="419"/>
        <v>86.96645482483099</v>
      </c>
    </row>
    <row r="896" spans="1:9" s="211" customFormat="1" ht="78.75" hidden="1" x14ac:dyDescent="0.25">
      <c r="A896" s="31" t="s">
        <v>479</v>
      </c>
      <c r="B896" s="346">
        <v>907</v>
      </c>
      <c r="C896" s="347" t="s">
        <v>506</v>
      </c>
      <c r="D896" s="347" t="s">
        <v>133</v>
      </c>
      <c r="E896" s="347" t="s">
        <v>1083</v>
      </c>
      <c r="F896" s="347"/>
      <c r="G896" s="321">
        <f>G897</f>
        <v>0</v>
      </c>
      <c r="H896" s="321">
        <f t="shared" ref="H896:H897" si="444">H897</f>
        <v>0</v>
      </c>
      <c r="I896" s="321" t="e">
        <f t="shared" si="419"/>
        <v>#DIV/0!</v>
      </c>
    </row>
    <row r="897" spans="1:9" s="211" customFormat="1" ht="31.5" hidden="1" x14ac:dyDescent="0.25">
      <c r="A897" s="349" t="s">
        <v>287</v>
      </c>
      <c r="B897" s="346">
        <v>907</v>
      </c>
      <c r="C897" s="347" t="s">
        <v>506</v>
      </c>
      <c r="D897" s="347" t="s">
        <v>133</v>
      </c>
      <c r="E897" s="347" t="s">
        <v>1083</v>
      </c>
      <c r="F897" s="347" t="s">
        <v>288</v>
      </c>
      <c r="G897" s="321">
        <f>G898</f>
        <v>0</v>
      </c>
      <c r="H897" s="321">
        <f t="shared" si="444"/>
        <v>0</v>
      </c>
      <c r="I897" s="321" t="e">
        <f t="shared" si="419"/>
        <v>#DIV/0!</v>
      </c>
    </row>
    <row r="898" spans="1:9" s="211" customFormat="1" ht="15.75" hidden="1" x14ac:dyDescent="0.25">
      <c r="A898" s="349" t="s">
        <v>289</v>
      </c>
      <c r="B898" s="346">
        <v>907</v>
      </c>
      <c r="C898" s="347" t="s">
        <v>506</v>
      </c>
      <c r="D898" s="347" t="s">
        <v>133</v>
      </c>
      <c r="E898" s="347" t="s">
        <v>1083</v>
      </c>
      <c r="F898" s="347" t="s">
        <v>290</v>
      </c>
      <c r="G898" s="321"/>
      <c r="H898" s="321"/>
      <c r="I898" s="321" t="e">
        <f t="shared" si="419"/>
        <v>#DIV/0!</v>
      </c>
    </row>
    <row r="899" spans="1:9" s="211" customFormat="1" ht="47.25" x14ac:dyDescent="0.25">
      <c r="A899" s="318" t="s">
        <v>1474</v>
      </c>
      <c r="B899" s="315">
        <v>907</v>
      </c>
      <c r="C899" s="319" t="s">
        <v>506</v>
      </c>
      <c r="D899" s="319" t="s">
        <v>133</v>
      </c>
      <c r="E899" s="319" t="s">
        <v>1471</v>
      </c>
      <c r="F899" s="319"/>
      <c r="G899" s="317">
        <f>G900</f>
        <v>439.56040000000002</v>
      </c>
      <c r="H899" s="317">
        <f t="shared" ref="H899:H901" si="445">H900</f>
        <v>439.56</v>
      </c>
      <c r="I899" s="317">
        <f t="shared" si="419"/>
        <v>99.999908999991803</v>
      </c>
    </row>
    <row r="900" spans="1:9" s="213" customFormat="1" ht="47.25" x14ac:dyDescent="0.25">
      <c r="A900" s="349" t="s">
        <v>1475</v>
      </c>
      <c r="B900" s="346">
        <v>907</v>
      </c>
      <c r="C900" s="347" t="s">
        <v>506</v>
      </c>
      <c r="D900" s="347" t="s">
        <v>133</v>
      </c>
      <c r="E900" s="347" t="s">
        <v>1470</v>
      </c>
      <c r="F900" s="347"/>
      <c r="G900" s="321">
        <f>G901</f>
        <v>439.56040000000002</v>
      </c>
      <c r="H900" s="321">
        <f t="shared" si="445"/>
        <v>439.56</v>
      </c>
      <c r="I900" s="321">
        <f t="shared" si="419"/>
        <v>99.999908999991803</v>
      </c>
    </row>
    <row r="901" spans="1:9" s="213" customFormat="1" ht="31.5" x14ac:dyDescent="0.25">
      <c r="A901" s="349" t="s">
        <v>287</v>
      </c>
      <c r="B901" s="346">
        <v>907</v>
      </c>
      <c r="C901" s="347" t="s">
        <v>506</v>
      </c>
      <c r="D901" s="347" t="s">
        <v>133</v>
      </c>
      <c r="E901" s="347" t="s">
        <v>1470</v>
      </c>
      <c r="F901" s="347" t="s">
        <v>288</v>
      </c>
      <c r="G901" s="321">
        <f>G902</f>
        <v>439.56040000000002</v>
      </c>
      <c r="H901" s="321">
        <f t="shared" si="445"/>
        <v>439.56</v>
      </c>
      <c r="I901" s="321">
        <f t="shared" si="419"/>
        <v>99.999908999991803</v>
      </c>
    </row>
    <row r="902" spans="1:9" s="213" customFormat="1" ht="15.75" x14ac:dyDescent="0.25">
      <c r="A902" s="349" t="s">
        <v>289</v>
      </c>
      <c r="B902" s="346">
        <v>907</v>
      </c>
      <c r="C902" s="347" t="s">
        <v>506</v>
      </c>
      <c r="D902" s="347" t="s">
        <v>133</v>
      </c>
      <c r="E902" s="347" t="s">
        <v>1470</v>
      </c>
      <c r="F902" s="347" t="s">
        <v>290</v>
      </c>
      <c r="G902" s="321">
        <f>400+39.5604</f>
        <v>439.56040000000002</v>
      </c>
      <c r="H902" s="321">
        <v>439.56</v>
      </c>
      <c r="I902" s="321">
        <f t="shared" si="419"/>
        <v>99.999908999991803</v>
      </c>
    </row>
    <row r="903" spans="1:9" s="213" customFormat="1" ht="51.75" customHeight="1" x14ac:dyDescent="0.25">
      <c r="A903" s="318" t="s">
        <v>1503</v>
      </c>
      <c r="B903" s="315">
        <v>907</v>
      </c>
      <c r="C903" s="319" t="s">
        <v>506</v>
      </c>
      <c r="D903" s="319" t="s">
        <v>133</v>
      </c>
      <c r="E903" s="319" t="s">
        <v>1497</v>
      </c>
      <c r="F903" s="347"/>
      <c r="G903" s="317">
        <f>G904+G907</f>
        <v>5031.17</v>
      </c>
      <c r="H903" s="317">
        <f t="shared" ref="H903" si="446">H904+H907</f>
        <v>5031.1577799999995</v>
      </c>
      <c r="I903" s="317">
        <f t="shared" si="419"/>
        <v>99.999757114150384</v>
      </c>
    </row>
    <row r="904" spans="1:9" s="213" customFormat="1" ht="47.25" x14ac:dyDescent="0.25">
      <c r="A904" s="349" t="s">
        <v>1502</v>
      </c>
      <c r="B904" s="346">
        <v>907</v>
      </c>
      <c r="C904" s="347" t="s">
        <v>506</v>
      </c>
      <c r="D904" s="347" t="s">
        <v>133</v>
      </c>
      <c r="E904" s="347" t="s">
        <v>1498</v>
      </c>
      <c r="F904" s="347"/>
      <c r="G904" s="321">
        <f>G905</f>
        <v>206.27</v>
      </c>
      <c r="H904" s="321">
        <f t="shared" ref="H904:H905" si="447">H905</f>
        <v>206.25778</v>
      </c>
      <c r="I904" s="321">
        <f t="shared" si="419"/>
        <v>99.9940757259902</v>
      </c>
    </row>
    <row r="905" spans="1:9" s="213" customFormat="1" ht="31.5" x14ac:dyDescent="0.25">
      <c r="A905" s="349" t="s">
        <v>287</v>
      </c>
      <c r="B905" s="346">
        <v>907</v>
      </c>
      <c r="C905" s="347" t="s">
        <v>506</v>
      </c>
      <c r="D905" s="347" t="s">
        <v>133</v>
      </c>
      <c r="E905" s="347" t="s">
        <v>1498</v>
      </c>
      <c r="F905" s="347" t="s">
        <v>288</v>
      </c>
      <c r="G905" s="321">
        <f>G906</f>
        <v>206.27</v>
      </c>
      <c r="H905" s="321">
        <f t="shared" si="447"/>
        <v>206.25778</v>
      </c>
      <c r="I905" s="321">
        <f t="shared" ref="I905:I968" si="448">H905/G905*100</f>
        <v>99.9940757259902</v>
      </c>
    </row>
    <row r="906" spans="1:9" s="213" customFormat="1" ht="15.75" x14ac:dyDescent="0.25">
      <c r="A906" s="349" t="s">
        <v>289</v>
      </c>
      <c r="B906" s="346">
        <v>907</v>
      </c>
      <c r="C906" s="347" t="s">
        <v>506</v>
      </c>
      <c r="D906" s="347" t="s">
        <v>133</v>
      </c>
      <c r="E906" s="347" t="s">
        <v>1498</v>
      </c>
      <c r="F906" s="347" t="s">
        <v>290</v>
      </c>
      <c r="G906" s="321">
        <v>206.27</v>
      </c>
      <c r="H906" s="321">
        <v>206.25778</v>
      </c>
      <c r="I906" s="321">
        <f t="shared" si="448"/>
        <v>99.9940757259902</v>
      </c>
    </row>
    <row r="907" spans="1:9" s="213" customFormat="1" ht="31.5" x14ac:dyDescent="0.25">
      <c r="A907" s="349" t="s">
        <v>1494</v>
      </c>
      <c r="B907" s="346">
        <v>907</v>
      </c>
      <c r="C907" s="347" t="s">
        <v>506</v>
      </c>
      <c r="D907" s="347" t="s">
        <v>133</v>
      </c>
      <c r="E907" s="347" t="s">
        <v>1499</v>
      </c>
      <c r="F907" s="347"/>
      <c r="G907" s="321">
        <f>G908</f>
        <v>4824.8999999999996</v>
      </c>
      <c r="H907" s="321">
        <f t="shared" ref="H907:H908" si="449">H908</f>
        <v>4824.8999999999996</v>
      </c>
      <c r="I907" s="321">
        <f t="shared" si="448"/>
        <v>100</v>
      </c>
    </row>
    <row r="908" spans="1:9" s="213" customFormat="1" ht="31.5" x14ac:dyDescent="0.25">
      <c r="A908" s="349" t="s">
        <v>287</v>
      </c>
      <c r="B908" s="346">
        <v>907</v>
      </c>
      <c r="C908" s="347" t="s">
        <v>506</v>
      </c>
      <c r="D908" s="347" t="s">
        <v>133</v>
      </c>
      <c r="E908" s="347" t="s">
        <v>1499</v>
      </c>
      <c r="F908" s="347" t="s">
        <v>288</v>
      </c>
      <c r="G908" s="321">
        <f>G909</f>
        <v>4824.8999999999996</v>
      </c>
      <c r="H908" s="321">
        <f t="shared" si="449"/>
        <v>4824.8999999999996</v>
      </c>
      <c r="I908" s="321">
        <f t="shared" si="448"/>
        <v>100</v>
      </c>
    </row>
    <row r="909" spans="1:9" s="213" customFormat="1" ht="15.75" x14ac:dyDescent="0.25">
      <c r="A909" s="349" t="s">
        <v>289</v>
      </c>
      <c r="B909" s="346">
        <v>907</v>
      </c>
      <c r="C909" s="347" t="s">
        <v>506</v>
      </c>
      <c r="D909" s="347" t="s">
        <v>133</v>
      </c>
      <c r="E909" s="347" t="s">
        <v>1499</v>
      </c>
      <c r="F909" s="347" t="s">
        <v>290</v>
      </c>
      <c r="G909" s="321">
        <v>4824.8999999999996</v>
      </c>
      <c r="H909" s="321">
        <v>4824.8999999999996</v>
      </c>
      <c r="I909" s="321">
        <f t="shared" si="448"/>
        <v>100</v>
      </c>
    </row>
    <row r="910" spans="1:9" s="213" customFormat="1" ht="47.25" x14ac:dyDescent="0.25">
      <c r="A910" s="34" t="s">
        <v>803</v>
      </c>
      <c r="B910" s="315">
        <v>907</v>
      </c>
      <c r="C910" s="319" t="s">
        <v>506</v>
      </c>
      <c r="D910" s="319" t="s">
        <v>133</v>
      </c>
      <c r="E910" s="319" t="s">
        <v>339</v>
      </c>
      <c r="F910" s="347"/>
      <c r="G910" s="317">
        <f>G911</f>
        <v>77.400000000000006</v>
      </c>
      <c r="H910" s="317">
        <f t="shared" ref="H910:H913" si="450">H911</f>
        <v>77.400000000000006</v>
      </c>
      <c r="I910" s="317">
        <f t="shared" si="448"/>
        <v>100</v>
      </c>
    </row>
    <row r="911" spans="1:9" s="213" customFormat="1" ht="63" x14ac:dyDescent="0.25">
      <c r="A911" s="34" t="s">
        <v>1160</v>
      </c>
      <c r="B911" s="315">
        <v>907</v>
      </c>
      <c r="C911" s="319" t="s">
        <v>506</v>
      </c>
      <c r="D911" s="319" t="s">
        <v>133</v>
      </c>
      <c r="E911" s="319" t="s">
        <v>1023</v>
      </c>
      <c r="F911" s="347"/>
      <c r="G911" s="317">
        <f>G912</f>
        <v>77.400000000000006</v>
      </c>
      <c r="H911" s="317">
        <f t="shared" si="450"/>
        <v>77.400000000000006</v>
      </c>
      <c r="I911" s="317">
        <f t="shared" si="448"/>
        <v>100</v>
      </c>
    </row>
    <row r="912" spans="1:9" s="213" customFormat="1" ht="47.25" x14ac:dyDescent="0.25">
      <c r="A912" s="31" t="s">
        <v>1159</v>
      </c>
      <c r="B912" s="346">
        <v>907</v>
      </c>
      <c r="C912" s="347" t="s">
        <v>506</v>
      </c>
      <c r="D912" s="347" t="s">
        <v>133</v>
      </c>
      <c r="E912" s="347" t="s">
        <v>1024</v>
      </c>
      <c r="F912" s="347"/>
      <c r="G912" s="321">
        <f>G913</f>
        <v>77.400000000000006</v>
      </c>
      <c r="H912" s="321">
        <f t="shared" si="450"/>
        <v>77.400000000000006</v>
      </c>
      <c r="I912" s="321">
        <f t="shared" si="448"/>
        <v>100</v>
      </c>
    </row>
    <row r="913" spans="1:9" s="213" customFormat="1" ht="31.5" x14ac:dyDescent="0.25">
      <c r="A913" s="349" t="s">
        <v>287</v>
      </c>
      <c r="B913" s="346">
        <v>907</v>
      </c>
      <c r="C913" s="347" t="s">
        <v>506</v>
      </c>
      <c r="D913" s="347" t="s">
        <v>133</v>
      </c>
      <c r="E913" s="347" t="s">
        <v>1024</v>
      </c>
      <c r="F913" s="347" t="s">
        <v>288</v>
      </c>
      <c r="G913" s="321">
        <f>G914</f>
        <v>77.400000000000006</v>
      </c>
      <c r="H913" s="321">
        <f t="shared" si="450"/>
        <v>77.400000000000006</v>
      </c>
      <c r="I913" s="321">
        <f t="shared" si="448"/>
        <v>100</v>
      </c>
    </row>
    <row r="914" spans="1:9" s="213" customFormat="1" ht="15.75" x14ac:dyDescent="0.25">
      <c r="A914" s="349" t="s">
        <v>289</v>
      </c>
      <c r="B914" s="346">
        <v>907</v>
      </c>
      <c r="C914" s="347" t="s">
        <v>506</v>
      </c>
      <c r="D914" s="347" t="s">
        <v>133</v>
      </c>
      <c r="E914" s="347" t="s">
        <v>1024</v>
      </c>
      <c r="F914" s="347" t="s">
        <v>290</v>
      </c>
      <c r="G914" s="321">
        <v>77.400000000000006</v>
      </c>
      <c r="H914" s="321">
        <v>77.400000000000006</v>
      </c>
      <c r="I914" s="321">
        <f t="shared" si="448"/>
        <v>100</v>
      </c>
    </row>
    <row r="915" spans="1:9" ht="47.25" x14ac:dyDescent="0.25">
      <c r="A915" s="41" t="s">
        <v>1177</v>
      </c>
      <c r="B915" s="315">
        <v>907</v>
      </c>
      <c r="C915" s="319" t="s">
        <v>506</v>
      </c>
      <c r="D915" s="319" t="s">
        <v>133</v>
      </c>
      <c r="E915" s="319" t="s">
        <v>726</v>
      </c>
      <c r="F915" s="228"/>
      <c r="G915" s="317">
        <f>G916</f>
        <v>523.1</v>
      </c>
      <c r="H915" s="317">
        <f t="shared" ref="H915:H918" si="451">H916</f>
        <v>498.44099999999997</v>
      </c>
      <c r="I915" s="317">
        <f t="shared" si="448"/>
        <v>95.285987382909568</v>
      </c>
    </row>
    <row r="916" spans="1:9" s="211" customFormat="1" ht="47.25" x14ac:dyDescent="0.25">
      <c r="A916" s="41" t="s">
        <v>947</v>
      </c>
      <c r="B916" s="315">
        <v>907</v>
      </c>
      <c r="C916" s="319" t="s">
        <v>506</v>
      </c>
      <c r="D916" s="319" t="s">
        <v>133</v>
      </c>
      <c r="E916" s="319" t="s">
        <v>945</v>
      </c>
      <c r="F916" s="228"/>
      <c r="G916" s="317">
        <f>G917</f>
        <v>523.1</v>
      </c>
      <c r="H916" s="317">
        <f t="shared" si="451"/>
        <v>498.44099999999997</v>
      </c>
      <c r="I916" s="317">
        <f t="shared" si="448"/>
        <v>95.285987382909568</v>
      </c>
    </row>
    <row r="917" spans="1:9" ht="39.200000000000003" customHeight="1" x14ac:dyDescent="0.25">
      <c r="A917" s="99" t="s">
        <v>801</v>
      </c>
      <c r="B917" s="346">
        <v>907</v>
      </c>
      <c r="C917" s="347" t="s">
        <v>506</v>
      </c>
      <c r="D917" s="347" t="s">
        <v>133</v>
      </c>
      <c r="E917" s="347" t="s">
        <v>1025</v>
      </c>
      <c r="F917" s="32"/>
      <c r="G917" s="321">
        <f>G918</f>
        <v>523.1</v>
      </c>
      <c r="H917" s="321">
        <f t="shared" si="451"/>
        <v>498.44099999999997</v>
      </c>
      <c r="I917" s="321">
        <f t="shared" si="448"/>
        <v>95.285987382909568</v>
      </c>
    </row>
    <row r="918" spans="1:9" ht="31.5" x14ac:dyDescent="0.25">
      <c r="A918" s="323" t="s">
        <v>287</v>
      </c>
      <c r="B918" s="346">
        <v>907</v>
      </c>
      <c r="C918" s="347" t="s">
        <v>506</v>
      </c>
      <c r="D918" s="347" t="s">
        <v>133</v>
      </c>
      <c r="E918" s="347" t="s">
        <v>1025</v>
      </c>
      <c r="F918" s="32" t="s">
        <v>288</v>
      </c>
      <c r="G918" s="321">
        <f>G919</f>
        <v>523.1</v>
      </c>
      <c r="H918" s="321">
        <f t="shared" si="451"/>
        <v>498.44099999999997</v>
      </c>
      <c r="I918" s="321">
        <f t="shared" si="448"/>
        <v>95.285987382909568</v>
      </c>
    </row>
    <row r="919" spans="1:9" ht="15.75" x14ac:dyDescent="0.25">
      <c r="A919" s="193" t="s">
        <v>289</v>
      </c>
      <c r="B919" s="346">
        <v>907</v>
      </c>
      <c r="C919" s="347" t="s">
        <v>506</v>
      </c>
      <c r="D919" s="347" t="s">
        <v>133</v>
      </c>
      <c r="E919" s="347" t="s">
        <v>1025</v>
      </c>
      <c r="F919" s="32" t="s">
        <v>290</v>
      </c>
      <c r="G919" s="321">
        <f>377+163.1-5-12</f>
        <v>523.1</v>
      </c>
      <c r="H919" s="321">
        <v>498.44099999999997</v>
      </c>
      <c r="I919" s="321">
        <f t="shared" si="448"/>
        <v>95.285987382909568</v>
      </c>
    </row>
    <row r="920" spans="1:9" ht="30.6" customHeight="1" x14ac:dyDescent="0.25">
      <c r="A920" s="318" t="s">
        <v>515</v>
      </c>
      <c r="B920" s="315">
        <v>907</v>
      </c>
      <c r="C920" s="319" t="s">
        <v>506</v>
      </c>
      <c r="D920" s="319" t="s">
        <v>249</v>
      </c>
      <c r="E920" s="319"/>
      <c r="F920" s="319"/>
      <c r="G920" s="317">
        <f>G921+G932+G944</f>
        <v>11661.007750000001</v>
      </c>
      <c r="H920" s="317">
        <f t="shared" ref="H920" si="452">H921+H932+H944</f>
        <v>11573.692780000001</v>
      </c>
      <c r="I920" s="317">
        <f t="shared" si="448"/>
        <v>99.251222777036574</v>
      </c>
    </row>
    <row r="921" spans="1:9" ht="31.5" x14ac:dyDescent="0.25">
      <c r="A921" s="318" t="s">
        <v>988</v>
      </c>
      <c r="B921" s="315">
        <v>907</v>
      </c>
      <c r="C921" s="319" t="s">
        <v>506</v>
      </c>
      <c r="D921" s="319" t="s">
        <v>249</v>
      </c>
      <c r="E921" s="319" t="s">
        <v>902</v>
      </c>
      <c r="F921" s="319"/>
      <c r="G921" s="317">
        <f>G922</f>
        <v>5183.2777500000011</v>
      </c>
      <c r="H921" s="317">
        <f t="shared" ref="H921" si="453">H922</f>
        <v>5182.9420600000003</v>
      </c>
      <c r="I921" s="317">
        <f t="shared" si="448"/>
        <v>99.993523596145295</v>
      </c>
    </row>
    <row r="922" spans="1:9" ht="15.75" x14ac:dyDescent="0.25">
      <c r="A922" s="318" t="s">
        <v>989</v>
      </c>
      <c r="B922" s="315">
        <v>907</v>
      </c>
      <c r="C922" s="319" t="s">
        <v>506</v>
      </c>
      <c r="D922" s="319" t="s">
        <v>249</v>
      </c>
      <c r="E922" s="319" t="s">
        <v>903</v>
      </c>
      <c r="F922" s="319"/>
      <c r="G922" s="317">
        <f>G923+G926+G929</f>
        <v>5183.2777500000011</v>
      </c>
      <c r="H922" s="317">
        <f t="shared" ref="H922" si="454">H923+H926+H929</f>
        <v>5182.9420600000003</v>
      </c>
      <c r="I922" s="317">
        <f t="shared" si="448"/>
        <v>99.993523596145295</v>
      </c>
    </row>
    <row r="923" spans="1:9" ht="33" customHeight="1" x14ac:dyDescent="0.25">
      <c r="A923" s="349" t="s">
        <v>965</v>
      </c>
      <c r="B923" s="346">
        <v>907</v>
      </c>
      <c r="C923" s="347" t="s">
        <v>506</v>
      </c>
      <c r="D923" s="347" t="s">
        <v>249</v>
      </c>
      <c r="E923" s="347" t="s">
        <v>904</v>
      </c>
      <c r="F923" s="347"/>
      <c r="G923" s="321">
        <f>G924</f>
        <v>4829.1000000000004</v>
      </c>
      <c r="H923" s="321">
        <f t="shared" ref="H923:H924" si="455">H924</f>
        <v>4828.7958099999996</v>
      </c>
      <c r="I923" s="321">
        <f t="shared" si="448"/>
        <v>99.993700896647397</v>
      </c>
    </row>
    <row r="924" spans="1:9" ht="64.5" customHeight="1" x14ac:dyDescent="0.25">
      <c r="A924" s="349" t="s">
        <v>142</v>
      </c>
      <c r="B924" s="346">
        <v>907</v>
      </c>
      <c r="C924" s="347" t="s">
        <v>506</v>
      </c>
      <c r="D924" s="347" t="s">
        <v>249</v>
      </c>
      <c r="E924" s="347" t="s">
        <v>904</v>
      </c>
      <c r="F924" s="347" t="s">
        <v>143</v>
      </c>
      <c r="G924" s="321">
        <f>G925</f>
        <v>4829.1000000000004</v>
      </c>
      <c r="H924" s="321">
        <f t="shared" si="455"/>
        <v>4828.7958099999996</v>
      </c>
      <c r="I924" s="321">
        <f t="shared" si="448"/>
        <v>99.993700896647397</v>
      </c>
    </row>
    <row r="925" spans="1:9" ht="31.5" x14ac:dyDescent="0.25">
      <c r="A925" s="349" t="s">
        <v>144</v>
      </c>
      <c r="B925" s="346">
        <v>907</v>
      </c>
      <c r="C925" s="347" t="s">
        <v>506</v>
      </c>
      <c r="D925" s="347" t="s">
        <v>249</v>
      </c>
      <c r="E925" s="347" t="s">
        <v>904</v>
      </c>
      <c r="F925" s="347" t="s">
        <v>145</v>
      </c>
      <c r="G925" s="339">
        <f>4447+266+85.9-5.4-32.4-9.2+77.2</f>
        <v>4829.1000000000004</v>
      </c>
      <c r="H925" s="339">
        <v>4828.7958099999996</v>
      </c>
      <c r="I925" s="321">
        <f t="shared" si="448"/>
        <v>99.993700896647397</v>
      </c>
    </row>
    <row r="926" spans="1:9" s="211" customFormat="1" ht="36.75" customHeight="1" x14ac:dyDescent="0.25">
      <c r="A926" s="349" t="s">
        <v>883</v>
      </c>
      <c r="B926" s="346">
        <v>907</v>
      </c>
      <c r="C926" s="347" t="s">
        <v>506</v>
      </c>
      <c r="D926" s="347" t="s">
        <v>249</v>
      </c>
      <c r="E926" s="347" t="s">
        <v>906</v>
      </c>
      <c r="F926" s="347"/>
      <c r="G926" s="321">
        <f>G927</f>
        <v>316.10000000000002</v>
      </c>
      <c r="H926" s="321">
        <f t="shared" ref="H926:H927" si="456">H927</f>
        <v>316.06849999999997</v>
      </c>
      <c r="I926" s="321">
        <f t="shared" si="448"/>
        <v>99.990034799114198</v>
      </c>
    </row>
    <row r="927" spans="1:9" s="211" customFormat="1" ht="47.25" customHeight="1" x14ac:dyDescent="0.25">
      <c r="A927" s="349" t="s">
        <v>142</v>
      </c>
      <c r="B927" s="346">
        <v>907</v>
      </c>
      <c r="C927" s="347" t="s">
        <v>506</v>
      </c>
      <c r="D927" s="347" t="s">
        <v>249</v>
      </c>
      <c r="E927" s="347" t="s">
        <v>906</v>
      </c>
      <c r="F927" s="347" t="s">
        <v>143</v>
      </c>
      <c r="G927" s="321">
        <f>G928</f>
        <v>316.10000000000002</v>
      </c>
      <c r="H927" s="321">
        <f t="shared" si="456"/>
        <v>316.06849999999997</v>
      </c>
      <c r="I927" s="321">
        <f t="shared" si="448"/>
        <v>99.990034799114198</v>
      </c>
    </row>
    <row r="928" spans="1:9" s="211" customFormat="1" ht="34.5" customHeight="1" x14ac:dyDescent="0.25">
      <c r="A928" s="349" t="s">
        <v>144</v>
      </c>
      <c r="B928" s="346">
        <v>907</v>
      </c>
      <c r="C928" s="347" t="s">
        <v>506</v>
      </c>
      <c r="D928" s="347" t="s">
        <v>249</v>
      </c>
      <c r="E928" s="347" t="s">
        <v>906</v>
      </c>
      <c r="F928" s="347" t="s">
        <v>145</v>
      </c>
      <c r="G928" s="321">
        <f>84+252+26-45.9</f>
        <v>316.10000000000002</v>
      </c>
      <c r="H928" s="321">
        <v>316.06849999999997</v>
      </c>
      <c r="I928" s="321">
        <f t="shared" si="448"/>
        <v>99.990034799114198</v>
      </c>
    </row>
    <row r="929" spans="1:9" s="310" customFormat="1" ht="31.5" x14ac:dyDescent="0.25">
      <c r="A929" s="349" t="s">
        <v>1582</v>
      </c>
      <c r="B929" s="346">
        <v>907</v>
      </c>
      <c r="C929" s="347" t="s">
        <v>506</v>
      </c>
      <c r="D929" s="347" t="s">
        <v>249</v>
      </c>
      <c r="E929" s="347" t="s">
        <v>1584</v>
      </c>
      <c r="F929" s="347"/>
      <c r="G929" s="321">
        <f>G930</f>
        <v>38.077750000000002</v>
      </c>
      <c r="H929" s="321">
        <f t="shared" ref="H929:H930" si="457">H930</f>
        <v>38.077750000000002</v>
      </c>
      <c r="I929" s="321">
        <f t="shared" si="448"/>
        <v>100</v>
      </c>
    </row>
    <row r="930" spans="1:9" s="310" customFormat="1" ht="78.75" x14ac:dyDescent="0.25">
      <c r="A930" s="349" t="s">
        <v>142</v>
      </c>
      <c r="B930" s="346">
        <v>907</v>
      </c>
      <c r="C930" s="347" t="s">
        <v>506</v>
      </c>
      <c r="D930" s="347" t="s">
        <v>249</v>
      </c>
      <c r="E930" s="347" t="s">
        <v>1584</v>
      </c>
      <c r="F930" s="347" t="s">
        <v>143</v>
      </c>
      <c r="G930" s="321">
        <f>G931</f>
        <v>38.077750000000002</v>
      </c>
      <c r="H930" s="321">
        <f t="shared" si="457"/>
        <v>38.077750000000002</v>
      </c>
      <c r="I930" s="321">
        <f t="shared" si="448"/>
        <v>100</v>
      </c>
    </row>
    <row r="931" spans="1:9" s="310" customFormat="1" ht="31.5" x14ac:dyDescent="0.25">
      <c r="A931" s="349" t="s">
        <v>144</v>
      </c>
      <c r="B931" s="346">
        <v>907</v>
      </c>
      <c r="C931" s="347" t="s">
        <v>506</v>
      </c>
      <c r="D931" s="347" t="s">
        <v>249</v>
      </c>
      <c r="E931" s="347" t="s">
        <v>1584</v>
      </c>
      <c r="F931" s="347" t="s">
        <v>145</v>
      </c>
      <c r="G931" s="321">
        <f>38.07775</f>
        <v>38.077750000000002</v>
      </c>
      <c r="H931" s="321">
        <v>38.077750000000002</v>
      </c>
      <c r="I931" s="321">
        <f t="shared" si="448"/>
        <v>100</v>
      </c>
    </row>
    <row r="932" spans="1:9" ht="15.75" x14ac:dyDescent="0.25">
      <c r="A932" s="318" t="s">
        <v>156</v>
      </c>
      <c r="B932" s="315">
        <v>907</v>
      </c>
      <c r="C932" s="319" t="s">
        <v>506</v>
      </c>
      <c r="D932" s="319" t="s">
        <v>249</v>
      </c>
      <c r="E932" s="319" t="s">
        <v>910</v>
      </c>
      <c r="F932" s="319"/>
      <c r="G932" s="317">
        <f>G933</f>
        <v>5123.1000000000004</v>
      </c>
      <c r="H932" s="317">
        <f t="shared" ref="H932" si="458">H933</f>
        <v>5036.1207199999999</v>
      </c>
      <c r="I932" s="317">
        <f t="shared" si="448"/>
        <v>98.302213893931395</v>
      </c>
    </row>
    <row r="933" spans="1:9" s="211" customFormat="1" ht="31.5" x14ac:dyDescent="0.25">
      <c r="A933" s="318" t="s">
        <v>1000</v>
      </c>
      <c r="B933" s="315">
        <v>907</v>
      </c>
      <c r="C933" s="319" t="s">
        <v>506</v>
      </c>
      <c r="D933" s="319" t="s">
        <v>249</v>
      </c>
      <c r="E933" s="319" t="s">
        <v>985</v>
      </c>
      <c r="F933" s="319"/>
      <c r="G933" s="317">
        <f>G934+G941</f>
        <v>5123.1000000000004</v>
      </c>
      <c r="H933" s="317">
        <f t="shared" ref="H933" si="459">H934+H941</f>
        <v>5036.1207199999999</v>
      </c>
      <c r="I933" s="317">
        <f t="shared" si="448"/>
        <v>98.302213893931395</v>
      </c>
    </row>
    <row r="934" spans="1:9" ht="31.5" x14ac:dyDescent="0.25">
      <c r="A934" s="349" t="s">
        <v>972</v>
      </c>
      <c r="B934" s="346">
        <v>907</v>
      </c>
      <c r="C934" s="347" t="s">
        <v>506</v>
      </c>
      <c r="D934" s="347" t="s">
        <v>249</v>
      </c>
      <c r="E934" s="347" t="s">
        <v>986</v>
      </c>
      <c r="F934" s="347"/>
      <c r="G934" s="321">
        <f>G935+G937+G939</f>
        <v>5064.1000000000004</v>
      </c>
      <c r="H934" s="321">
        <f t="shared" ref="H934" si="460">H935+H937+H939</f>
        <v>4977.4162200000001</v>
      </c>
      <c r="I934" s="321">
        <f t="shared" si="448"/>
        <v>98.288268794060144</v>
      </c>
    </row>
    <row r="935" spans="1:9" ht="72.75" customHeight="1" x14ac:dyDescent="0.25">
      <c r="A935" s="349" t="s">
        <v>142</v>
      </c>
      <c r="B935" s="346">
        <v>907</v>
      </c>
      <c r="C935" s="347" t="s">
        <v>506</v>
      </c>
      <c r="D935" s="347" t="s">
        <v>249</v>
      </c>
      <c r="E935" s="347" t="s">
        <v>986</v>
      </c>
      <c r="F935" s="347" t="s">
        <v>143</v>
      </c>
      <c r="G935" s="321">
        <f>G936</f>
        <v>4702.1000000000004</v>
      </c>
      <c r="H935" s="321">
        <f t="shared" ref="H935" si="461">H936</f>
        <v>4621.9747500000003</v>
      </c>
      <c r="I935" s="321">
        <f t="shared" si="448"/>
        <v>98.29596882244104</v>
      </c>
    </row>
    <row r="936" spans="1:9" ht="17.649999999999999" customHeight="1" x14ac:dyDescent="0.25">
      <c r="A936" s="349" t="s">
        <v>357</v>
      </c>
      <c r="B936" s="346">
        <v>907</v>
      </c>
      <c r="C936" s="347" t="s">
        <v>506</v>
      </c>
      <c r="D936" s="347" t="s">
        <v>249</v>
      </c>
      <c r="E936" s="347" t="s">
        <v>986</v>
      </c>
      <c r="F936" s="347" t="s">
        <v>224</v>
      </c>
      <c r="G936" s="339">
        <v>4702.1000000000004</v>
      </c>
      <c r="H936" s="339">
        <v>4621.9747500000003</v>
      </c>
      <c r="I936" s="321">
        <f t="shared" si="448"/>
        <v>98.29596882244104</v>
      </c>
    </row>
    <row r="937" spans="1:9" ht="31.5" x14ac:dyDescent="0.25">
      <c r="A937" s="349" t="s">
        <v>146</v>
      </c>
      <c r="B937" s="346">
        <v>907</v>
      </c>
      <c r="C937" s="347" t="s">
        <v>506</v>
      </c>
      <c r="D937" s="347" t="s">
        <v>249</v>
      </c>
      <c r="E937" s="347" t="s">
        <v>986</v>
      </c>
      <c r="F937" s="347" t="s">
        <v>147</v>
      </c>
      <c r="G937" s="321">
        <f>G938</f>
        <v>361.3</v>
      </c>
      <c r="H937" s="321">
        <f t="shared" ref="H937" si="462">H938</f>
        <v>355.19146999999998</v>
      </c>
      <c r="I937" s="321">
        <f t="shared" si="448"/>
        <v>98.309291447550507</v>
      </c>
    </row>
    <row r="938" spans="1:9" ht="31.5" x14ac:dyDescent="0.25">
      <c r="A938" s="349" t="s">
        <v>148</v>
      </c>
      <c r="B938" s="346">
        <v>907</v>
      </c>
      <c r="C938" s="347" t="s">
        <v>506</v>
      </c>
      <c r="D938" s="347" t="s">
        <v>249</v>
      </c>
      <c r="E938" s="347" t="s">
        <v>986</v>
      </c>
      <c r="F938" s="347" t="s">
        <v>149</v>
      </c>
      <c r="G938" s="339">
        <v>361.3</v>
      </c>
      <c r="H938" s="339">
        <v>355.19146999999998</v>
      </c>
      <c r="I938" s="321">
        <f t="shared" si="448"/>
        <v>98.309291447550507</v>
      </c>
    </row>
    <row r="939" spans="1:9" ht="15.75" x14ac:dyDescent="0.25">
      <c r="A939" s="349" t="s">
        <v>150</v>
      </c>
      <c r="B939" s="346">
        <v>907</v>
      </c>
      <c r="C939" s="347" t="s">
        <v>506</v>
      </c>
      <c r="D939" s="347" t="s">
        <v>249</v>
      </c>
      <c r="E939" s="347" t="s">
        <v>986</v>
      </c>
      <c r="F939" s="347" t="s">
        <v>160</v>
      </c>
      <c r="G939" s="321">
        <f>G940</f>
        <v>0.7</v>
      </c>
      <c r="H939" s="321">
        <f t="shared" ref="H939" si="463">H940</f>
        <v>0.25</v>
      </c>
      <c r="I939" s="321">
        <f t="shared" si="448"/>
        <v>35.714285714285715</v>
      </c>
    </row>
    <row r="940" spans="1:9" ht="15.75" x14ac:dyDescent="0.25">
      <c r="A940" s="349" t="s">
        <v>583</v>
      </c>
      <c r="B940" s="346">
        <v>907</v>
      </c>
      <c r="C940" s="347" t="s">
        <v>506</v>
      </c>
      <c r="D940" s="347" t="s">
        <v>249</v>
      </c>
      <c r="E940" s="347" t="s">
        <v>986</v>
      </c>
      <c r="F940" s="347" t="s">
        <v>153</v>
      </c>
      <c r="G940" s="321">
        <v>0.7</v>
      </c>
      <c r="H940" s="321">
        <v>0.25</v>
      </c>
      <c r="I940" s="321">
        <f t="shared" si="448"/>
        <v>35.714285714285715</v>
      </c>
    </row>
    <row r="941" spans="1:9" s="211" customFormat="1" ht="31.5" x14ac:dyDescent="0.25">
      <c r="A941" s="349" t="s">
        <v>883</v>
      </c>
      <c r="B941" s="346">
        <v>907</v>
      </c>
      <c r="C941" s="347" t="s">
        <v>506</v>
      </c>
      <c r="D941" s="347" t="s">
        <v>249</v>
      </c>
      <c r="E941" s="347" t="s">
        <v>987</v>
      </c>
      <c r="F941" s="347"/>
      <c r="G941" s="321">
        <f>G942</f>
        <v>59</v>
      </c>
      <c r="H941" s="321">
        <f t="shared" ref="H941:H942" si="464">H942</f>
        <v>58.704500000000003</v>
      </c>
      <c r="I941" s="321">
        <f t="shared" si="448"/>
        <v>99.499152542372883</v>
      </c>
    </row>
    <row r="942" spans="1:9" s="211" customFormat="1" ht="78.75" x14ac:dyDescent="0.25">
      <c r="A942" s="349" t="s">
        <v>142</v>
      </c>
      <c r="B942" s="346">
        <v>907</v>
      </c>
      <c r="C942" s="347" t="s">
        <v>506</v>
      </c>
      <c r="D942" s="347" t="s">
        <v>249</v>
      </c>
      <c r="E942" s="347" t="s">
        <v>987</v>
      </c>
      <c r="F942" s="347" t="s">
        <v>143</v>
      </c>
      <c r="G942" s="321">
        <f>G943</f>
        <v>59</v>
      </c>
      <c r="H942" s="321">
        <f t="shared" si="464"/>
        <v>58.704500000000003</v>
      </c>
      <c r="I942" s="321">
        <f t="shared" si="448"/>
        <v>99.499152542372883</v>
      </c>
    </row>
    <row r="943" spans="1:9" s="211" customFormat="1" ht="15.75" x14ac:dyDescent="0.25">
      <c r="A943" s="349" t="s">
        <v>357</v>
      </c>
      <c r="B943" s="346">
        <v>907</v>
      </c>
      <c r="C943" s="347" t="s">
        <v>506</v>
      </c>
      <c r="D943" s="347" t="s">
        <v>249</v>
      </c>
      <c r="E943" s="347" t="s">
        <v>987</v>
      </c>
      <c r="F943" s="347" t="s">
        <v>224</v>
      </c>
      <c r="G943" s="321">
        <f>210-210+84-6-19</f>
        <v>59</v>
      </c>
      <c r="H943" s="321">
        <v>58.704500000000003</v>
      </c>
      <c r="I943" s="321">
        <f t="shared" si="448"/>
        <v>99.499152542372883</v>
      </c>
    </row>
    <row r="944" spans="1:9" s="211" customFormat="1" ht="47.25" x14ac:dyDescent="0.25">
      <c r="A944" s="41" t="s">
        <v>496</v>
      </c>
      <c r="B944" s="315">
        <v>907</v>
      </c>
      <c r="C944" s="319" t="s">
        <v>506</v>
      </c>
      <c r="D944" s="319" t="s">
        <v>249</v>
      </c>
      <c r="E944" s="312" t="s">
        <v>497</v>
      </c>
      <c r="F944" s="319"/>
      <c r="G944" s="317">
        <f>G945</f>
        <v>1354.63</v>
      </c>
      <c r="H944" s="317">
        <f t="shared" ref="H944:H946" si="465">H945</f>
        <v>1354.63</v>
      </c>
      <c r="I944" s="317">
        <f t="shared" si="448"/>
        <v>100</v>
      </c>
    </row>
    <row r="945" spans="1:9" s="211" customFormat="1" ht="47.25" x14ac:dyDescent="0.25">
      <c r="A945" s="58" t="s">
        <v>516</v>
      </c>
      <c r="B945" s="315">
        <v>907</v>
      </c>
      <c r="C945" s="319" t="s">
        <v>506</v>
      </c>
      <c r="D945" s="319" t="s">
        <v>249</v>
      </c>
      <c r="E945" s="312" t="s">
        <v>517</v>
      </c>
      <c r="F945" s="319"/>
      <c r="G945" s="317">
        <f>G946</f>
        <v>1354.63</v>
      </c>
      <c r="H945" s="317">
        <f t="shared" si="465"/>
        <v>1354.63</v>
      </c>
      <c r="I945" s="317">
        <f t="shared" si="448"/>
        <v>100</v>
      </c>
    </row>
    <row r="946" spans="1:9" s="211" customFormat="1" ht="31.5" x14ac:dyDescent="0.25">
      <c r="A946" s="58" t="s">
        <v>1084</v>
      </c>
      <c r="B946" s="315">
        <v>907</v>
      </c>
      <c r="C946" s="319" t="s">
        <v>506</v>
      </c>
      <c r="D946" s="319" t="s">
        <v>249</v>
      </c>
      <c r="E946" s="312" t="s">
        <v>1085</v>
      </c>
      <c r="F946" s="319"/>
      <c r="G946" s="317">
        <f>G947</f>
        <v>1354.63</v>
      </c>
      <c r="H946" s="317">
        <f t="shared" si="465"/>
        <v>1354.63</v>
      </c>
      <c r="I946" s="317">
        <f t="shared" si="448"/>
        <v>100</v>
      </c>
    </row>
    <row r="947" spans="1:9" s="211" customFormat="1" ht="15.75" x14ac:dyDescent="0.25">
      <c r="A947" s="323" t="s">
        <v>1086</v>
      </c>
      <c r="B947" s="346">
        <v>907</v>
      </c>
      <c r="C947" s="347" t="s">
        <v>506</v>
      </c>
      <c r="D947" s="347" t="s">
        <v>249</v>
      </c>
      <c r="E947" s="324" t="s">
        <v>1234</v>
      </c>
      <c r="F947" s="347"/>
      <c r="G947" s="321">
        <f>G948+G950</f>
        <v>1354.63</v>
      </c>
      <c r="H947" s="321">
        <f t="shared" ref="H947" si="466">H948+H950</f>
        <v>1354.63</v>
      </c>
      <c r="I947" s="321">
        <f t="shared" si="448"/>
        <v>100</v>
      </c>
    </row>
    <row r="948" spans="1:9" s="211" customFormat="1" ht="78.75" x14ac:dyDescent="0.25">
      <c r="A948" s="349" t="s">
        <v>142</v>
      </c>
      <c r="B948" s="346">
        <v>907</v>
      </c>
      <c r="C948" s="347" t="s">
        <v>506</v>
      </c>
      <c r="D948" s="347" t="s">
        <v>249</v>
      </c>
      <c r="E948" s="324" t="s">
        <v>1234</v>
      </c>
      <c r="F948" s="347" t="s">
        <v>143</v>
      </c>
      <c r="G948" s="321">
        <f>G949</f>
        <v>530.84000000000015</v>
      </c>
      <c r="H948" s="321">
        <f t="shared" ref="H948" si="467">H949</f>
        <v>530.84</v>
      </c>
      <c r="I948" s="321">
        <f t="shared" si="448"/>
        <v>99.999999999999972</v>
      </c>
    </row>
    <row r="949" spans="1:9" s="211" customFormat="1" ht="15.75" x14ac:dyDescent="0.25">
      <c r="A949" s="349" t="s">
        <v>357</v>
      </c>
      <c r="B949" s="346">
        <v>907</v>
      </c>
      <c r="C949" s="347" t="s">
        <v>506</v>
      </c>
      <c r="D949" s="347" t="s">
        <v>249</v>
      </c>
      <c r="E949" s="324" t="s">
        <v>1234</v>
      </c>
      <c r="F949" s="347" t="s">
        <v>224</v>
      </c>
      <c r="G949" s="321">
        <f>1500+1000-100-252-350-274-8-125.6-880-50+70.44</f>
        <v>530.84000000000015</v>
      </c>
      <c r="H949" s="321">
        <v>530.84</v>
      </c>
      <c r="I949" s="321">
        <f t="shared" si="448"/>
        <v>99.999999999999972</v>
      </c>
    </row>
    <row r="950" spans="1:9" s="211" customFormat="1" ht="31.5" x14ac:dyDescent="0.25">
      <c r="A950" s="323" t="s">
        <v>146</v>
      </c>
      <c r="B950" s="346">
        <v>907</v>
      </c>
      <c r="C950" s="347" t="s">
        <v>506</v>
      </c>
      <c r="D950" s="347" t="s">
        <v>249</v>
      </c>
      <c r="E950" s="324" t="s">
        <v>1234</v>
      </c>
      <c r="F950" s="347" t="s">
        <v>147</v>
      </c>
      <c r="G950" s="321">
        <f>G951</f>
        <v>823.79</v>
      </c>
      <c r="H950" s="321">
        <f t="shared" ref="H950" si="468">H951</f>
        <v>823.79</v>
      </c>
      <c r="I950" s="321">
        <f t="shared" si="448"/>
        <v>100</v>
      </c>
    </row>
    <row r="951" spans="1:9" s="211" customFormat="1" ht="31.5" x14ac:dyDescent="0.25">
      <c r="A951" s="323" t="s">
        <v>148</v>
      </c>
      <c r="B951" s="346">
        <v>907</v>
      </c>
      <c r="C951" s="347" t="s">
        <v>506</v>
      </c>
      <c r="D951" s="347" t="s">
        <v>249</v>
      </c>
      <c r="E951" s="324" t="s">
        <v>1234</v>
      </c>
      <c r="F951" s="347" t="s">
        <v>149</v>
      </c>
      <c r="G951" s="321">
        <f>500+100+205+69-20-28.96-0.6-0.65</f>
        <v>823.79</v>
      </c>
      <c r="H951" s="321">
        <v>823.79</v>
      </c>
      <c r="I951" s="321">
        <f t="shared" si="448"/>
        <v>100</v>
      </c>
    </row>
    <row r="952" spans="1:9" ht="31.5" x14ac:dyDescent="0.25">
      <c r="A952" s="315" t="s">
        <v>519</v>
      </c>
      <c r="B952" s="315">
        <v>908</v>
      </c>
      <c r="C952" s="347"/>
      <c r="D952" s="347"/>
      <c r="E952" s="347"/>
      <c r="F952" s="347"/>
      <c r="G952" s="317">
        <f>G974+G981+G1008+G1187+G953</f>
        <v>134979.31820000001</v>
      </c>
      <c r="H952" s="317">
        <f t="shared" ref="H952" si="469">H974+H981+H1008+H1187+H953</f>
        <v>130345.29879999999</v>
      </c>
      <c r="I952" s="317">
        <f t="shared" si="448"/>
        <v>96.566867086160741</v>
      </c>
    </row>
    <row r="953" spans="1:9" ht="15.75" x14ac:dyDescent="0.25">
      <c r="A953" s="34" t="s">
        <v>132</v>
      </c>
      <c r="B953" s="315">
        <v>908</v>
      </c>
      <c r="C953" s="319" t="s">
        <v>133</v>
      </c>
      <c r="D953" s="347"/>
      <c r="E953" s="347"/>
      <c r="F953" s="347"/>
      <c r="G953" s="317">
        <f>G954</f>
        <v>41364.80000000001</v>
      </c>
      <c r="H953" s="317">
        <f t="shared" ref="H953:H954" si="470">H954</f>
        <v>40998.330999999998</v>
      </c>
      <c r="I953" s="317">
        <f t="shared" si="448"/>
        <v>99.114055912273216</v>
      </c>
    </row>
    <row r="954" spans="1:9" ht="15.75" x14ac:dyDescent="0.25">
      <c r="A954" s="34" t="s">
        <v>154</v>
      </c>
      <c r="B954" s="315">
        <v>908</v>
      </c>
      <c r="C954" s="319" t="s">
        <v>133</v>
      </c>
      <c r="D954" s="319" t="s">
        <v>155</v>
      </c>
      <c r="E954" s="347"/>
      <c r="F954" s="347"/>
      <c r="G954" s="317">
        <f>G955</f>
        <v>41364.80000000001</v>
      </c>
      <c r="H954" s="317">
        <f t="shared" si="470"/>
        <v>40998.330999999998</v>
      </c>
      <c r="I954" s="317">
        <f t="shared" si="448"/>
        <v>99.114055912273216</v>
      </c>
    </row>
    <row r="955" spans="1:9" ht="21.2" customHeight="1" x14ac:dyDescent="0.25">
      <c r="A955" s="318" t="s">
        <v>156</v>
      </c>
      <c r="B955" s="315">
        <v>908</v>
      </c>
      <c r="C955" s="319" t="s">
        <v>133</v>
      </c>
      <c r="D955" s="319" t="s">
        <v>155</v>
      </c>
      <c r="E955" s="319" t="s">
        <v>910</v>
      </c>
      <c r="F955" s="319"/>
      <c r="G955" s="44">
        <f>G956+G969</f>
        <v>41364.80000000001</v>
      </c>
      <c r="H955" s="44">
        <f t="shared" ref="H955" si="471">H956+H969</f>
        <v>40998.330999999998</v>
      </c>
      <c r="I955" s="317">
        <f t="shared" si="448"/>
        <v>99.114055912273216</v>
      </c>
    </row>
    <row r="956" spans="1:9" ht="15.75" x14ac:dyDescent="0.25">
      <c r="A956" s="318" t="s">
        <v>1088</v>
      </c>
      <c r="B956" s="315">
        <v>908</v>
      </c>
      <c r="C956" s="319" t="s">
        <v>133</v>
      </c>
      <c r="D956" s="319" t="s">
        <v>155</v>
      </c>
      <c r="E956" s="319" t="s">
        <v>1087</v>
      </c>
      <c r="F956" s="319"/>
      <c r="G956" s="44">
        <f>G960+G957</f>
        <v>41205.500000000007</v>
      </c>
      <c r="H956" s="44">
        <f t="shared" ref="H956" si="472">H960+H957</f>
        <v>40839.214</v>
      </c>
      <c r="I956" s="317">
        <f t="shared" si="448"/>
        <v>99.111074977854884</v>
      </c>
    </row>
    <row r="957" spans="1:9" s="211" customFormat="1" ht="31.5" x14ac:dyDescent="0.25">
      <c r="A957" s="349" t="s">
        <v>883</v>
      </c>
      <c r="B957" s="346">
        <v>908</v>
      </c>
      <c r="C957" s="347" t="s">
        <v>133</v>
      </c>
      <c r="D957" s="347" t="s">
        <v>155</v>
      </c>
      <c r="E957" s="347" t="s">
        <v>1090</v>
      </c>
      <c r="F957" s="347"/>
      <c r="G957" s="321">
        <f>G958</f>
        <v>885.5</v>
      </c>
      <c r="H957" s="321">
        <f t="shared" ref="H957:H958" si="473">H958</f>
        <v>885.46799999999996</v>
      </c>
      <c r="I957" s="321">
        <f t="shared" si="448"/>
        <v>99.996386222473177</v>
      </c>
    </row>
    <row r="958" spans="1:9" s="211" customFormat="1" ht="78.75" x14ac:dyDescent="0.25">
      <c r="A958" s="349" t="s">
        <v>142</v>
      </c>
      <c r="B958" s="346">
        <v>908</v>
      </c>
      <c r="C958" s="347" t="s">
        <v>133</v>
      </c>
      <c r="D958" s="347" t="s">
        <v>155</v>
      </c>
      <c r="E958" s="347" t="s">
        <v>1090</v>
      </c>
      <c r="F958" s="347" t="s">
        <v>143</v>
      </c>
      <c r="G958" s="321">
        <f>G959</f>
        <v>885.5</v>
      </c>
      <c r="H958" s="321">
        <f t="shared" si="473"/>
        <v>885.46799999999996</v>
      </c>
      <c r="I958" s="321">
        <f t="shared" si="448"/>
        <v>99.996386222473177</v>
      </c>
    </row>
    <row r="959" spans="1:9" s="211" customFormat="1" ht="31.5" x14ac:dyDescent="0.25">
      <c r="A959" s="349" t="s">
        <v>144</v>
      </c>
      <c r="B959" s="346">
        <v>908</v>
      </c>
      <c r="C959" s="347" t="s">
        <v>133</v>
      </c>
      <c r="D959" s="347" t="s">
        <v>155</v>
      </c>
      <c r="E959" s="347" t="s">
        <v>1090</v>
      </c>
      <c r="F959" s="347" t="s">
        <v>224</v>
      </c>
      <c r="G959" s="321">
        <f>672+400-186.5</f>
        <v>885.5</v>
      </c>
      <c r="H959" s="321">
        <v>885.46799999999996</v>
      </c>
      <c r="I959" s="321">
        <f t="shared" si="448"/>
        <v>99.996386222473177</v>
      </c>
    </row>
    <row r="960" spans="1:9" s="211" customFormat="1" ht="15.75" x14ac:dyDescent="0.25">
      <c r="A960" s="349" t="s">
        <v>832</v>
      </c>
      <c r="B960" s="346">
        <v>908</v>
      </c>
      <c r="C960" s="347" t="s">
        <v>133</v>
      </c>
      <c r="D960" s="347" t="s">
        <v>155</v>
      </c>
      <c r="E960" s="347" t="s">
        <v>1089</v>
      </c>
      <c r="F960" s="347"/>
      <c r="G960" s="339">
        <f>G961+G963+G967+G965</f>
        <v>40320.000000000007</v>
      </c>
      <c r="H960" s="339">
        <f t="shared" ref="H960" si="474">H961+H963+H967+H965</f>
        <v>39953.745999999999</v>
      </c>
      <c r="I960" s="321">
        <f t="shared" si="448"/>
        <v>99.09163194444443</v>
      </c>
    </row>
    <row r="961" spans="1:9" ht="74.25" customHeight="1" x14ac:dyDescent="0.25">
      <c r="A961" s="349" t="s">
        <v>142</v>
      </c>
      <c r="B961" s="346">
        <v>908</v>
      </c>
      <c r="C961" s="347" t="s">
        <v>133</v>
      </c>
      <c r="D961" s="347" t="s">
        <v>155</v>
      </c>
      <c r="E961" s="347" t="s">
        <v>1089</v>
      </c>
      <c r="F961" s="347" t="s">
        <v>143</v>
      </c>
      <c r="G961" s="339">
        <f>G962</f>
        <v>31276.300000000003</v>
      </c>
      <c r="H961" s="339">
        <f t="shared" ref="H961" si="475">H962</f>
        <v>31244.672999999999</v>
      </c>
      <c r="I961" s="321">
        <f t="shared" si="448"/>
        <v>99.898878703682968</v>
      </c>
    </row>
    <row r="962" spans="1:9" ht="15.75" x14ac:dyDescent="0.25">
      <c r="A962" s="46" t="s">
        <v>357</v>
      </c>
      <c r="B962" s="346">
        <v>908</v>
      </c>
      <c r="C962" s="347" t="s">
        <v>133</v>
      </c>
      <c r="D962" s="347" t="s">
        <v>155</v>
      </c>
      <c r="E962" s="347" t="s">
        <v>1089</v>
      </c>
      <c r="F962" s="347" t="s">
        <v>224</v>
      </c>
      <c r="G962" s="339">
        <f>30180-27.6-1329.3+49.2+14.9+2531.3-10.5+620+200-212.9-500-253.3-150-80.5-50-50+285+10+50</f>
        <v>31276.300000000003</v>
      </c>
      <c r="H962" s="339">
        <v>31244.672999999999</v>
      </c>
      <c r="I962" s="321">
        <f t="shared" si="448"/>
        <v>99.898878703682968</v>
      </c>
    </row>
    <row r="963" spans="1:9" ht="31.5" x14ac:dyDescent="0.25">
      <c r="A963" s="349" t="s">
        <v>146</v>
      </c>
      <c r="B963" s="346">
        <v>908</v>
      </c>
      <c r="C963" s="347" t="s">
        <v>133</v>
      </c>
      <c r="D963" s="347" t="s">
        <v>155</v>
      </c>
      <c r="E963" s="347" t="s">
        <v>1089</v>
      </c>
      <c r="F963" s="347" t="s">
        <v>147</v>
      </c>
      <c r="G963" s="339">
        <f>G964</f>
        <v>8359.8000000000011</v>
      </c>
      <c r="H963" s="339">
        <f t="shared" ref="H963" si="476">H964</f>
        <v>8026.1570000000002</v>
      </c>
      <c r="I963" s="321">
        <f t="shared" si="448"/>
        <v>96.0089595444867</v>
      </c>
    </row>
    <row r="964" spans="1:9" ht="31.5" x14ac:dyDescent="0.25">
      <c r="A964" s="349" t="s">
        <v>148</v>
      </c>
      <c r="B964" s="346">
        <v>908</v>
      </c>
      <c r="C964" s="347" t="s">
        <v>133</v>
      </c>
      <c r="D964" s="347" t="s">
        <v>155</v>
      </c>
      <c r="E964" s="347" t="s">
        <v>1089</v>
      </c>
      <c r="F964" s="347" t="s">
        <v>149</v>
      </c>
      <c r="G964" s="339">
        <f>7000-400+46.2-80+661.5+1329.3-165.3-40.1+599.7+382.5-1679.8-25+75+93.3+660-170.6+110.1-30-7</f>
        <v>8359.8000000000011</v>
      </c>
      <c r="H964" s="339">
        <v>8026.1570000000002</v>
      </c>
      <c r="I964" s="321">
        <f t="shared" si="448"/>
        <v>96.0089595444867</v>
      </c>
    </row>
    <row r="965" spans="1:9" s="310" customFormat="1" ht="15.75" hidden="1" x14ac:dyDescent="0.25">
      <c r="A965" s="349" t="s">
        <v>263</v>
      </c>
      <c r="B965" s="346">
        <v>908</v>
      </c>
      <c r="C965" s="347" t="s">
        <v>133</v>
      </c>
      <c r="D965" s="347" t="s">
        <v>155</v>
      </c>
      <c r="E965" s="347" t="s">
        <v>1089</v>
      </c>
      <c r="F965" s="347" t="s">
        <v>264</v>
      </c>
      <c r="G965" s="339">
        <f>G966</f>
        <v>0</v>
      </c>
      <c r="H965" s="339">
        <f t="shared" ref="H965" si="477">H966</f>
        <v>0</v>
      </c>
      <c r="I965" s="321" t="e">
        <f t="shared" si="448"/>
        <v>#DIV/0!</v>
      </c>
    </row>
    <row r="966" spans="1:9" s="310" customFormat="1" ht="31.5" hidden="1" x14ac:dyDescent="0.25">
      <c r="A966" s="349" t="s">
        <v>265</v>
      </c>
      <c r="B966" s="346">
        <v>908</v>
      </c>
      <c r="C966" s="347" t="s">
        <v>133</v>
      </c>
      <c r="D966" s="347" t="s">
        <v>155</v>
      </c>
      <c r="E966" s="347" t="s">
        <v>1089</v>
      </c>
      <c r="F966" s="347" t="s">
        <v>266</v>
      </c>
      <c r="G966" s="339">
        <f>10.5-10.5</f>
        <v>0</v>
      </c>
      <c r="H966" s="339">
        <f t="shared" ref="H966" si="478">10.5-10.5</f>
        <v>0</v>
      </c>
      <c r="I966" s="321" t="e">
        <f t="shared" si="448"/>
        <v>#DIV/0!</v>
      </c>
    </row>
    <row r="967" spans="1:9" ht="15.75" x14ac:dyDescent="0.25">
      <c r="A967" s="349" t="s">
        <v>150</v>
      </c>
      <c r="B967" s="346">
        <v>908</v>
      </c>
      <c r="C967" s="347" t="s">
        <v>133</v>
      </c>
      <c r="D967" s="347" t="s">
        <v>155</v>
      </c>
      <c r="E967" s="347" t="s">
        <v>1089</v>
      </c>
      <c r="F967" s="347" t="s">
        <v>160</v>
      </c>
      <c r="G967" s="339">
        <f>G968</f>
        <v>683.9</v>
      </c>
      <c r="H967" s="339">
        <f t="shared" ref="H967" si="479">H968</f>
        <v>682.91600000000005</v>
      </c>
      <c r="I967" s="321">
        <f t="shared" si="448"/>
        <v>99.85611931568944</v>
      </c>
    </row>
    <row r="968" spans="1:9" ht="15.75" x14ac:dyDescent="0.25">
      <c r="A968" s="349" t="s">
        <v>725</v>
      </c>
      <c r="B968" s="346">
        <v>908</v>
      </c>
      <c r="C968" s="347" t="s">
        <v>133</v>
      </c>
      <c r="D968" s="347" t="s">
        <v>155</v>
      </c>
      <c r="E968" s="347" t="s">
        <v>1089</v>
      </c>
      <c r="F968" s="347" t="s">
        <v>153</v>
      </c>
      <c r="G968" s="339">
        <f>421+80+40.1+51.3+98.5-7</f>
        <v>683.9</v>
      </c>
      <c r="H968" s="339">
        <v>682.91600000000005</v>
      </c>
      <c r="I968" s="321">
        <f t="shared" si="448"/>
        <v>99.85611931568944</v>
      </c>
    </row>
    <row r="969" spans="1:9" s="310" customFormat="1" ht="15.75" x14ac:dyDescent="0.25">
      <c r="A969" s="318" t="s">
        <v>156</v>
      </c>
      <c r="B969" s="315">
        <v>908</v>
      </c>
      <c r="C969" s="319" t="s">
        <v>133</v>
      </c>
      <c r="D969" s="319" t="s">
        <v>155</v>
      </c>
      <c r="E969" s="319" t="s">
        <v>910</v>
      </c>
      <c r="F969" s="347"/>
      <c r="G969" s="44">
        <f>G970</f>
        <v>159.30000000000001</v>
      </c>
      <c r="H969" s="44">
        <f t="shared" ref="H969:H972" si="480">H970</f>
        <v>159.11699999999999</v>
      </c>
      <c r="I969" s="317">
        <f t="shared" ref="I969:I1032" si="481">H969/G969*100</f>
        <v>99.885122410546117</v>
      </c>
    </row>
    <row r="970" spans="1:9" s="310" customFormat="1" ht="31.5" x14ac:dyDescent="0.25">
      <c r="A970" s="318" t="s">
        <v>914</v>
      </c>
      <c r="B970" s="315">
        <v>908</v>
      </c>
      <c r="C970" s="319" t="s">
        <v>133</v>
      </c>
      <c r="D970" s="319" t="s">
        <v>155</v>
      </c>
      <c r="E970" s="319" t="s">
        <v>909</v>
      </c>
      <c r="F970" s="347"/>
      <c r="G970" s="44">
        <f>G971</f>
        <v>159.30000000000001</v>
      </c>
      <c r="H970" s="44">
        <f t="shared" si="480"/>
        <v>159.11699999999999</v>
      </c>
      <c r="I970" s="317">
        <f t="shared" si="481"/>
        <v>99.885122410546117</v>
      </c>
    </row>
    <row r="971" spans="1:9" s="213" customFormat="1" ht="47.25" x14ac:dyDescent="0.25">
      <c r="A971" s="349" t="s">
        <v>1513</v>
      </c>
      <c r="B971" s="346">
        <v>908</v>
      </c>
      <c r="C971" s="347" t="s">
        <v>133</v>
      </c>
      <c r="D971" s="347" t="s">
        <v>155</v>
      </c>
      <c r="E971" s="347" t="s">
        <v>1514</v>
      </c>
      <c r="F971" s="347"/>
      <c r="G971" s="339">
        <f>G972</f>
        <v>159.30000000000001</v>
      </c>
      <c r="H971" s="339">
        <f t="shared" si="480"/>
        <v>159.11699999999999</v>
      </c>
      <c r="I971" s="321">
        <f t="shared" si="481"/>
        <v>99.885122410546117</v>
      </c>
    </row>
    <row r="972" spans="1:9" s="213" customFormat="1" ht="78.75" x14ac:dyDescent="0.25">
      <c r="A972" s="349" t="s">
        <v>142</v>
      </c>
      <c r="B972" s="346">
        <v>908</v>
      </c>
      <c r="C972" s="347" t="s">
        <v>133</v>
      </c>
      <c r="D972" s="347" t="s">
        <v>155</v>
      </c>
      <c r="E972" s="347" t="s">
        <v>1514</v>
      </c>
      <c r="F972" s="347" t="s">
        <v>143</v>
      </c>
      <c r="G972" s="339">
        <f>G973</f>
        <v>159.30000000000001</v>
      </c>
      <c r="H972" s="339">
        <f t="shared" si="480"/>
        <v>159.11699999999999</v>
      </c>
      <c r="I972" s="321">
        <f t="shared" si="481"/>
        <v>99.885122410546117</v>
      </c>
    </row>
    <row r="973" spans="1:9" s="213" customFormat="1" ht="15.75" x14ac:dyDescent="0.25">
      <c r="A973" s="46" t="s">
        <v>357</v>
      </c>
      <c r="B973" s="346">
        <v>908</v>
      </c>
      <c r="C973" s="347" t="s">
        <v>133</v>
      </c>
      <c r="D973" s="347" t="s">
        <v>155</v>
      </c>
      <c r="E973" s="347" t="s">
        <v>1514</v>
      </c>
      <c r="F973" s="347" t="s">
        <v>224</v>
      </c>
      <c r="G973" s="339">
        <f>177-13.6-4.1</f>
        <v>159.30000000000001</v>
      </c>
      <c r="H973" s="339">
        <v>159.11699999999999</v>
      </c>
      <c r="I973" s="321">
        <f t="shared" si="481"/>
        <v>99.885122410546117</v>
      </c>
    </row>
    <row r="974" spans="1:9" ht="31.5" x14ac:dyDescent="0.25">
      <c r="A974" s="318" t="s">
        <v>237</v>
      </c>
      <c r="B974" s="315">
        <v>908</v>
      </c>
      <c r="C974" s="319" t="s">
        <v>230</v>
      </c>
      <c r="D974" s="319"/>
      <c r="E974" s="319"/>
      <c r="F974" s="319"/>
      <c r="G974" s="317">
        <f t="shared" ref="G974:G979" si="482">G975</f>
        <v>10.400000000000006</v>
      </c>
      <c r="H974" s="317">
        <f t="shared" ref="H974:H979" si="483">H975</f>
        <v>10.4</v>
      </c>
      <c r="I974" s="317">
        <f t="shared" si="481"/>
        <v>99.999999999999943</v>
      </c>
    </row>
    <row r="975" spans="1:9" ht="51" customHeight="1" x14ac:dyDescent="0.25">
      <c r="A975" s="318" t="s">
        <v>238</v>
      </c>
      <c r="B975" s="315">
        <v>908</v>
      </c>
      <c r="C975" s="319" t="s">
        <v>230</v>
      </c>
      <c r="D975" s="319" t="s">
        <v>234</v>
      </c>
      <c r="E975" s="319"/>
      <c r="F975" s="319"/>
      <c r="G975" s="317">
        <f t="shared" si="482"/>
        <v>10.400000000000006</v>
      </c>
      <c r="H975" s="317">
        <f t="shared" si="483"/>
        <v>10.4</v>
      </c>
      <c r="I975" s="317">
        <f t="shared" si="481"/>
        <v>99.999999999999943</v>
      </c>
    </row>
    <row r="976" spans="1:9" ht="21.75" customHeight="1" x14ac:dyDescent="0.25">
      <c r="A976" s="318" t="s">
        <v>156</v>
      </c>
      <c r="B976" s="315">
        <v>908</v>
      </c>
      <c r="C976" s="319" t="s">
        <v>230</v>
      </c>
      <c r="D976" s="319" t="s">
        <v>234</v>
      </c>
      <c r="E976" s="319" t="s">
        <v>910</v>
      </c>
      <c r="F976" s="319"/>
      <c r="G976" s="317">
        <f t="shared" si="482"/>
        <v>10.400000000000006</v>
      </c>
      <c r="H976" s="317">
        <f t="shared" si="483"/>
        <v>10.4</v>
      </c>
      <c r="I976" s="317">
        <f t="shared" si="481"/>
        <v>99.999999999999943</v>
      </c>
    </row>
    <row r="977" spans="1:9" ht="31.5" x14ac:dyDescent="0.25">
      <c r="A977" s="318" t="s">
        <v>914</v>
      </c>
      <c r="B977" s="315">
        <v>908</v>
      </c>
      <c r="C977" s="319" t="s">
        <v>230</v>
      </c>
      <c r="D977" s="319" t="s">
        <v>234</v>
      </c>
      <c r="E977" s="319" t="s">
        <v>909</v>
      </c>
      <c r="F977" s="319"/>
      <c r="G977" s="317">
        <f t="shared" si="482"/>
        <v>10.400000000000006</v>
      </c>
      <c r="H977" s="317">
        <f t="shared" si="483"/>
        <v>10.4</v>
      </c>
      <c r="I977" s="317">
        <f t="shared" si="481"/>
        <v>99.999999999999943</v>
      </c>
    </row>
    <row r="978" spans="1:9" ht="15.75" x14ac:dyDescent="0.25">
      <c r="A978" s="349" t="s">
        <v>245</v>
      </c>
      <c r="B978" s="346">
        <v>908</v>
      </c>
      <c r="C978" s="347" t="s">
        <v>230</v>
      </c>
      <c r="D978" s="347" t="s">
        <v>234</v>
      </c>
      <c r="E978" s="347" t="s">
        <v>920</v>
      </c>
      <c r="F978" s="347"/>
      <c r="G978" s="321">
        <f t="shared" si="482"/>
        <v>10.400000000000006</v>
      </c>
      <c r="H978" s="321">
        <f t="shared" si="483"/>
        <v>10.4</v>
      </c>
      <c r="I978" s="321">
        <f t="shared" si="481"/>
        <v>99.999999999999943</v>
      </c>
    </row>
    <row r="979" spans="1:9" ht="31.5" x14ac:dyDescent="0.25">
      <c r="A979" s="349" t="s">
        <v>146</v>
      </c>
      <c r="B979" s="346">
        <v>908</v>
      </c>
      <c r="C979" s="347" t="s">
        <v>230</v>
      </c>
      <c r="D979" s="347" t="s">
        <v>234</v>
      </c>
      <c r="E979" s="347" t="s">
        <v>920</v>
      </c>
      <c r="F979" s="347" t="s">
        <v>147</v>
      </c>
      <c r="G979" s="321">
        <f t="shared" si="482"/>
        <v>10.400000000000006</v>
      </c>
      <c r="H979" s="321">
        <f t="shared" si="483"/>
        <v>10.4</v>
      </c>
      <c r="I979" s="321">
        <f t="shared" si="481"/>
        <v>99.999999999999943</v>
      </c>
    </row>
    <row r="980" spans="1:9" ht="31.5" x14ac:dyDescent="0.25">
      <c r="A980" s="349" t="s">
        <v>148</v>
      </c>
      <c r="B980" s="346">
        <v>908</v>
      </c>
      <c r="C980" s="347" t="s">
        <v>230</v>
      </c>
      <c r="D980" s="347" t="s">
        <v>234</v>
      </c>
      <c r="E980" s="347" t="s">
        <v>920</v>
      </c>
      <c r="F980" s="347" t="s">
        <v>149</v>
      </c>
      <c r="G980" s="321">
        <f>107-96.6</f>
        <v>10.400000000000006</v>
      </c>
      <c r="H980" s="321">
        <v>10.4</v>
      </c>
      <c r="I980" s="321">
        <f t="shared" si="481"/>
        <v>99.999999999999943</v>
      </c>
    </row>
    <row r="981" spans="1:9" ht="15.75" x14ac:dyDescent="0.25">
      <c r="A981" s="318" t="s">
        <v>247</v>
      </c>
      <c r="B981" s="315">
        <v>908</v>
      </c>
      <c r="C981" s="319" t="s">
        <v>165</v>
      </c>
      <c r="D981" s="319"/>
      <c r="E981" s="319"/>
      <c r="F981" s="319"/>
      <c r="G981" s="317">
        <f>G982+G988+G1002</f>
        <v>7411.7000000000007</v>
      </c>
      <c r="H981" s="317">
        <f t="shared" ref="H981" si="484">H982+H988+H1002</f>
        <v>7338.384</v>
      </c>
      <c r="I981" s="317">
        <f t="shared" si="481"/>
        <v>99.010807237206038</v>
      </c>
    </row>
    <row r="982" spans="1:9" ht="15.75" x14ac:dyDescent="0.25">
      <c r="A982" s="318" t="s">
        <v>520</v>
      </c>
      <c r="B982" s="315">
        <v>908</v>
      </c>
      <c r="C982" s="319" t="s">
        <v>165</v>
      </c>
      <c r="D982" s="319" t="s">
        <v>314</v>
      </c>
      <c r="E982" s="319"/>
      <c r="F982" s="319"/>
      <c r="G982" s="317">
        <f>G983</f>
        <v>3258</v>
      </c>
      <c r="H982" s="317">
        <f t="shared" ref="H982:H986" si="485">H983</f>
        <v>3257.884</v>
      </c>
      <c r="I982" s="317">
        <f t="shared" si="481"/>
        <v>99.996439533456112</v>
      </c>
    </row>
    <row r="983" spans="1:9" ht="15.75" x14ac:dyDescent="0.25">
      <c r="A983" s="318" t="s">
        <v>156</v>
      </c>
      <c r="B983" s="315">
        <v>908</v>
      </c>
      <c r="C983" s="319" t="s">
        <v>165</v>
      </c>
      <c r="D983" s="319" t="s">
        <v>314</v>
      </c>
      <c r="E983" s="319" t="s">
        <v>910</v>
      </c>
      <c r="F983" s="319"/>
      <c r="G983" s="317">
        <f>G984</f>
        <v>3258</v>
      </c>
      <c r="H983" s="317">
        <f t="shared" si="485"/>
        <v>3257.884</v>
      </c>
      <c r="I983" s="317">
        <f t="shared" si="481"/>
        <v>99.996439533456112</v>
      </c>
    </row>
    <row r="984" spans="1:9" ht="31.5" x14ac:dyDescent="0.25">
      <c r="A984" s="318" t="s">
        <v>914</v>
      </c>
      <c r="B984" s="315">
        <v>908</v>
      </c>
      <c r="C984" s="319" t="s">
        <v>165</v>
      </c>
      <c r="D984" s="319" t="s">
        <v>314</v>
      </c>
      <c r="E984" s="319" t="s">
        <v>909</v>
      </c>
      <c r="F984" s="319"/>
      <c r="G984" s="317">
        <f>G985</f>
        <v>3258</v>
      </c>
      <c r="H984" s="317">
        <f t="shared" si="485"/>
        <v>3257.884</v>
      </c>
      <c r="I984" s="317">
        <f t="shared" si="481"/>
        <v>99.996439533456112</v>
      </c>
    </row>
    <row r="985" spans="1:9" ht="18" customHeight="1" x14ac:dyDescent="0.25">
      <c r="A985" s="349" t="s">
        <v>521</v>
      </c>
      <c r="B985" s="346">
        <v>908</v>
      </c>
      <c r="C985" s="347" t="s">
        <v>165</v>
      </c>
      <c r="D985" s="347" t="s">
        <v>314</v>
      </c>
      <c r="E985" s="347" t="s">
        <v>1091</v>
      </c>
      <c r="F985" s="347"/>
      <c r="G985" s="321">
        <f>G986</f>
        <v>3258</v>
      </c>
      <c r="H985" s="321">
        <f t="shared" si="485"/>
        <v>3257.884</v>
      </c>
      <c r="I985" s="321">
        <f t="shared" si="481"/>
        <v>99.996439533456112</v>
      </c>
    </row>
    <row r="986" spans="1:9" ht="31.5" x14ac:dyDescent="0.25">
      <c r="A986" s="349" t="s">
        <v>146</v>
      </c>
      <c r="B986" s="346">
        <v>908</v>
      </c>
      <c r="C986" s="347" t="s">
        <v>165</v>
      </c>
      <c r="D986" s="347" t="s">
        <v>314</v>
      </c>
      <c r="E986" s="347" t="s">
        <v>1091</v>
      </c>
      <c r="F986" s="347" t="s">
        <v>147</v>
      </c>
      <c r="G986" s="321">
        <f>G987</f>
        <v>3258</v>
      </c>
      <c r="H986" s="321">
        <f t="shared" si="485"/>
        <v>3257.884</v>
      </c>
      <c r="I986" s="321">
        <f t="shared" si="481"/>
        <v>99.996439533456112</v>
      </c>
    </row>
    <row r="987" spans="1:9" ht="31.5" x14ac:dyDescent="0.25">
      <c r="A987" s="349" t="s">
        <v>148</v>
      </c>
      <c r="B987" s="346">
        <v>908</v>
      </c>
      <c r="C987" s="347" t="s">
        <v>165</v>
      </c>
      <c r="D987" s="347" t="s">
        <v>314</v>
      </c>
      <c r="E987" s="347" t="s">
        <v>1091</v>
      </c>
      <c r="F987" s="347" t="s">
        <v>149</v>
      </c>
      <c r="G987" s="321">
        <v>3258</v>
      </c>
      <c r="H987" s="321">
        <v>3257.884</v>
      </c>
      <c r="I987" s="321">
        <f t="shared" si="481"/>
        <v>99.996439533456112</v>
      </c>
    </row>
    <row r="988" spans="1:9" ht="15.75" x14ac:dyDescent="0.25">
      <c r="A988" s="318" t="s">
        <v>523</v>
      </c>
      <c r="B988" s="315">
        <v>908</v>
      </c>
      <c r="C988" s="319" t="s">
        <v>165</v>
      </c>
      <c r="D988" s="319" t="s">
        <v>234</v>
      </c>
      <c r="E988" s="347"/>
      <c r="F988" s="319"/>
      <c r="G988" s="317">
        <f>G989</f>
        <v>3803.7000000000003</v>
      </c>
      <c r="H988" s="317">
        <f t="shared" ref="H988" si="486">H989</f>
        <v>3730.5</v>
      </c>
      <c r="I988" s="317">
        <f t="shared" si="481"/>
        <v>98.075558009306718</v>
      </c>
    </row>
    <row r="989" spans="1:9" ht="47.25" x14ac:dyDescent="0.25">
      <c r="A989" s="34" t="s">
        <v>1178</v>
      </c>
      <c r="B989" s="315">
        <v>908</v>
      </c>
      <c r="C989" s="319" t="s">
        <v>165</v>
      </c>
      <c r="D989" s="319" t="s">
        <v>234</v>
      </c>
      <c r="E989" s="319" t="s">
        <v>525</v>
      </c>
      <c r="F989" s="319"/>
      <c r="G989" s="317">
        <f>G995+G990</f>
        <v>3803.7000000000003</v>
      </c>
      <c r="H989" s="317">
        <f t="shared" ref="H989" si="487">H995+H990</f>
        <v>3730.5</v>
      </c>
      <c r="I989" s="317">
        <f t="shared" si="481"/>
        <v>98.075558009306718</v>
      </c>
    </row>
    <row r="990" spans="1:9" s="211" customFormat="1" ht="31.5" hidden="1" x14ac:dyDescent="0.25">
      <c r="A990" s="34" t="s">
        <v>1148</v>
      </c>
      <c r="B990" s="315">
        <v>908</v>
      </c>
      <c r="C990" s="319" t="s">
        <v>165</v>
      </c>
      <c r="D990" s="319" t="s">
        <v>234</v>
      </c>
      <c r="E990" s="312" t="s">
        <v>1092</v>
      </c>
      <c r="F990" s="319"/>
      <c r="G990" s="317">
        <f>G991</f>
        <v>0</v>
      </c>
      <c r="H990" s="317">
        <f t="shared" ref="H990:H992" si="488">H991</f>
        <v>0</v>
      </c>
      <c r="I990" s="317" t="e">
        <f t="shared" si="481"/>
        <v>#DIV/0!</v>
      </c>
    </row>
    <row r="991" spans="1:9" s="211" customFormat="1" ht="15.75" hidden="1" x14ac:dyDescent="0.25">
      <c r="A991" s="323" t="s">
        <v>1150</v>
      </c>
      <c r="B991" s="346">
        <v>908</v>
      </c>
      <c r="C991" s="347" t="s">
        <v>165</v>
      </c>
      <c r="D991" s="347" t="s">
        <v>234</v>
      </c>
      <c r="E991" s="324" t="s">
        <v>1149</v>
      </c>
      <c r="F991" s="347"/>
      <c r="G991" s="321">
        <f>G992</f>
        <v>0</v>
      </c>
      <c r="H991" s="321">
        <f t="shared" si="488"/>
        <v>0</v>
      </c>
      <c r="I991" s="317" t="e">
        <f t="shared" si="481"/>
        <v>#DIV/0!</v>
      </c>
    </row>
    <row r="992" spans="1:9" s="211" customFormat="1" ht="31.5" hidden="1" x14ac:dyDescent="0.25">
      <c r="A992" s="349" t="s">
        <v>146</v>
      </c>
      <c r="B992" s="346">
        <v>908</v>
      </c>
      <c r="C992" s="347" t="s">
        <v>165</v>
      </c>
      <c r="D992" s="347" t="s">
        <v>234</v>
      </c>
      <c r="E992" s="324" t="s">
        <v>1149</v>
      </c>
      <c r="F992" s="347" t="s">
        <v>147</v>
      </c>
      <c r="G992" s="321">
        <f>G993</f>
        <v>0</v>
      </c>
      <c r="H992" s="321">
        <f t="shared" si="488"/>
        <v>0</v>
      </c>
      <c r="I992" s="317" t="e">
        <f t="shared" si="481"/>
        <v>#DIV/0!</v>
      </c>
    </row>
    <row r="993" spans="1:9" s="211" customFormat="1" ht="31.5" hidden="1" x14ac:dyDescent="0.25">
      <c r="A993" s="349" t="s">
        <v>148</v>
      </c>
      <c r="B993" s="346">
        <v>908</v>
      </c>
      <c r="C993" s="347" t="s">
        <v>165</v>
      </c>
      <c r="D993" s="347" t="s">
        <v>234</v>
      </c>
      <c r="E993" s="324" t="s">
        <v>1149</v>
      </c>
      <c r="F993" s="347" t="s">
        <v>149</v>
      </c>
      <c r="G993" s="321">
        <v>0</v>
      </c>
      <c r="H993" s="321">
        <v>0</v>
      </c>
      <c r="I993" s="317" t="e">
        <f t="shared" si="481"/>
        <v>#DIV/0!</v>
      </c>
    </row>
    <row r="994" spans="1:9" s="211" customFormat="1" ht="31.5" x14ac:dyDescent="0.25">
      <c r="A994" s="34" t="s">
        <v>1235</v>
      </c>
      <c r="B994" s="315">
        <v>908</v>
      </c>
      <c r="C994" s="319" t="s">
        <v>165</v>
      </c>
      <c r="D994" s="319" t="s">
        <v>234</v>
      </c>
      <c r="E994" s="319" t="s">
        <v>1093</v>
      </c>
      <c r="F994" s="319"/>
      <c r="G994" s="317">
        <f>G995</f>
        <v>3803.7000000000003</v>
      </c>
      <c r="H994" s="317">
        <f t="shared" ref="H994" si="489">H995</f>
        <v>3730.5</v>
      </c>
      <c r="I994" s="317">
        <f t="shared" si="481"/>
        <v>98.075558009306718</v>
      </c>
    </row>
    <row r="995" spans="1:9" ht="15.75" x14ac:dyDescent="0.25">
      <c r="A995" s="323" t="s">
        <v>526</v>
      </c>
      <c r="B995" s="346">
        <v>908</v>
      </c>
      <c r="C995" s="347" t="s">
        <v>165</v>
      </c>
      <c r="D995" s="347" t="s">
        <v>234</v>
      </c>
      <c r="E995" s="324" t="s">
        <v>1151</v>
      </c>
      <c r="F995" s="347"/>
      <c r="G995" s="321">
        <f>G998+G1000+G996</f>
        <v>3803.7000000000003</v>
      </c>
      <c r="H995" s="321">
        <f t="shared" ref="H995" si="490">H998+H1000+H996</f>
        <v>3730.5</v>
      </c>
      <c r="I995" s="321">
        <f t="shared" si="481"/>
        <v>98.075558009306718</v>
      </c>
    </row>
    <row r="996" spans="1:9" s="211" customFormat="1" ht="78.75" x14ac:dyDescent="0.25">
      <c r="A996" s="349" t="s">
        <v>142</v>
      </c>
      <c r="B996" s="346">
        <v>908</v>
      </c>
      <c r="C996" s="347" t="s">
        <v>165</v>
      </c>
      <c r="D996" s="347" t="s">
        <v>234</v>
      </c>
      <c r="E996" s="324" t="s">
        <v>1151</v>
      </c>
      <c r="F996" s="347" t="s">
        <v>143</v>
      </c>
      <c r="G996" s="321">
        <f>G997</f>
        <v>2275.8000000000002</v>
      </c>
      <c r="H996" s="321">
        <f t="shared" ref="H996" si="491">H997</f>
        <v>2257.3200000000002</v>
      </c>
      <c r="I996" s="321">
        <f t="shared" si="481"/>
        <v>99.187977853941462</v>
      </c>
    </row>
    <row r="997" spans="1:9" s="211" customFormat="1" ht="15.75" x14ac:dyDescent="0.25">
      <c r="A997" s="349" t="s">
        <v>357</v>
      </c>
      <c r="B997" s="346">
        <v>908</v>
      </c>
      <c r="C997" s="347" t="s">
        <v>165</v>
      </c>
      <c r="D997" s="347" t="s">
        <v>234</v>
      </c>
      <c r="E997" s="324" t="s">
        <v>1151</v>
      </c>
      <c r="F997" s="347" t="s">
        <v>224</v>
      </c>
      <c r="G997" s="321">
        <f>1791.3+600+110-210-15.5</f>
        <v>2275.8000000000002</v>
      </c>
      <c r="H997" s="321">
        <v>2257.3200000000002</v>
      </c>
      <c r="I997" s="321">
        <f t="shared" si="481"/>
        <v>99.187977853941462</v>
      </c>
    </row>
    <row r="998" spans="1:9" ht="31.5" x14ac:dyDescent="0.25">
      <c r="A998" s="349" t="s">
        <v>146</v>
      </c>
      <c r="B998" s="346">
        <v>908</v>
      </c>
      <c r="C998" s="347" t="s">
        <v>165</v>
      </c>
      <c r="D998" s="347" t="s">
        <v>234</v>
      </c>
      <c r="E998" s="324" t="s">
        <v>1151</v>
      </c>
      <c r="F998" s="347" t="s">
        <v>147</v>
      </c>
      <c r="G998" s="321">
        <f>G999</f>
        <v>1527.9</v>
      </c>
      <c r="H998" s="321">
        <f t="shared" ref="H998" si="492">H999</f>
        <v>1473.18</v>
      </c>
      <c r="I998" s="321">
        <f t="shared" si="481"/>
        <v>96.418613783624579</v>
      </c>
    </row>
    <row r="999" spans="1:9" ht="31.5" x14ac:dyDescent="0.25">
      <c r="A999" s="349" t="s">
        <v>148</v>
      </c>
      <c r="B999" s="346">
        <v>908</v>
      </c>
      <c r="C999" s="347" t="s">
        <v>165</v>
      </c>
      <c r="D999" s="347" t="s">
        <v>234</v>
      </c>
      <c r="E999" s="324" t="s">
        <v>1151</v>
      </c>
      <c r="F999" s="347" t="s">
        <v>149</v>
      </c>
      <c r="G999" s="321">
        <f>3446-1791.3+165.3-245+212.9-260</f>
        <v>1527.9</v>
      </c>
      <c r="H999" s="321">
        <v>1473.18</v>
      </c>
      <c r="I999" s="321">
        <f t="shared" si="481"/>
        <v>96.418613783624579</v>
      </c>
    </row>
    <row r="1000" spans="1:9" ht="15.75" hidden="1" x14ac:dyDescent="0.25">
      <c r="A1000" s="349" t="s">
        <v>150</v>
      </c>
      <c r="B1000" s="346">
        <v>908</v>
      </c>
      <c r="C1000" s="347" t="s">
        <v>165</v>
      </c>
      <c r="D1000" s="347" t="s">
        <v>234</v>
      </c>
      <c r="E1000" s="324" t="s">
        <v>1151</v>
      </c>
      <c r="F1000" s="347" t="s">
        <v>160</v>
      </c>
      <c r="G1000" s="321">
        <f>G1001</f>
        <v>0</v>
      </c>
      <c r="H1000" s="321">
        <f t="shared" ref="H1000" si="493">H1001</f>
        <v>0</v>
      </c>
      <c r="I1000" s="321" t="e">
        <f t="shared" si="481"/>
        <v>#DIV/0!</v>
      </c>
    </row>
    <row r="1001" spans="1:9" ht="15.75" hidden="1" x14ac:dyDescent="0.25">
      <c r="A1001" s="349" t="s">
        <v>583</v>
      </c>
      <c r="B1001" s="346">
        <v>908</v>
      </c>
      <c r="C1001" s="347" t="s">
        <v>165</v>
      </c>
      <c r="D1001" s="347" t="s">
        <v>234</v>
      </c>
      <c r="E1001" s="324" t="s">
        <v>1151</v>
      </c>
      <c r="F1001" s="347" t="s">
        <v>153</v>
      </c>
      <c r="G1001" s="321">
        <v>0</v>
      </c>
      <c r="H1001" s="321">
        <v>0</v>
      </c>
      <c r="I1001" s="321" t="e">
        <f t="shared" si="481"/>
        <v>#DIV/0!</v>
      </c>
    </row>
    <row r="1002" spans="1:9" s="211" customFormat="1" ht="15.75" x14ac:dyDescent="0.25">
      <c r="A1002" s="318" t="s">
        <v>252</v>
      </c>
      <c r="B1002" s="315">
        <v>908</v>
      </c>
      <c r="C1002" s="319" t="s">
        <v>165</v>
      </c>
      <c r="D1002" s="319" t="s">
        <v>253</v>
      </c>
      <c r="E1002" s="312"/>
      <c r="F1002" s="319"/>
      <c r="G1002" s="317">
        <f>G1003</f>
        <v>350</v>
      </c>
      <c r="H1002" s="317">
        <f t="shared" ref="H1002:H1006" si="494">H1003</f>
        <v>350</v>
      </c>
      <c r="I1002" s="317">
        <f t="shared" si="481"/>
        <v>100</v>
      </c>
    </row>
    <row r="1003" spans="1:9" s="211" customFormat="1" ht="15.75" x14ac:dyDescent="0.25">
      <c r="A1003" s="318" t="s">
        <v>156</v>
      </c>
      <c r="B1003" s="315">
        <v>908</v>
      </c>
      <c r="C1003" s="319" t="s">
        <v>165</v>
      </c>
      <c r="D1003" s="319" t="s">
        <v>253</v>
      </c>
      <c r="E1003" s="319" t="s">
        <v>910</v>
      </c>
      <c r="F1003" s="347"/>
      <c r="G1003" s="317">
        <f>G1004</f>
        <v>350</v>
      </c>
      <c r="H1003" s="317">
        <f t="shared" si="494"/>
        <v>350</v>
      </c>
      <c r="I1003" s="317">
        <f t="shared" si="481"/>
        <v>100</v>
      </c>
    </row>
    <row r="1004" spans="1:9" s="211" customFormat="1" ht="31.5" x14ac:dyDescent="0.25">
      <c r="A1004" s="318" t="s">
        <v>914</v>
      </c>
      <c r="B1004" s="315">
        <v>908</v>
      </c>
      <c r="C1004" s="319" t="s">
        <v>165</v>
      </c>
      <c r="D1004" s="319" t="s">
        <v>253</v>
      </c>
      <c r="E1004" s="319" t="s">
        <v>909</v>
      </c>
      <c r="F1004" s="347"/>
      <c r="G1004" s="317">
        <f>G1005</f>
        <v>350</v>
      </c>
      <c r="H1004" s="317">
        <f t="shared" si="494"/>
        <v>350</v>
      </c>
      <c r="I1004" s="317">
        <f t="shared" si="481"/>
        <v>100</v>
      </c>
    </row>
    <row r="1005" spans="1:9" s="211" customFormat="1" ht="15.75" x14ac:dyDescent="0.25">
      <c r="A1005" s="349" t="s">
        <v>1500</v>
      </c>
      <c r="B1005" s="346">
        <v>908</v>
      </c>
      <c r="C1005" s="347" t="s">
        <v>165</v>
      </c>
      <c r="D1005" s="347" t="s">
        <v>253</v>
      </c>
      <c r="E1005" s="347" t="s">
        <v>1501</v>
      </c>
      <c r="F1005" s="347"/>
      <c r="G1005" s="321">
        <f>G1006</f>
        <v>350</v>
      </c>
      <c r="H1005" s="321">
        <f t="shared" si="494"/>
        <v>350</v>
      </c>
      <c r="I1005" s="321">
        <f t="shared" si="481"/>
        <v>100</v>
      </c>
    </row>
    <row r="1006" spans="1:9" s="211" customFormat="1" ht="31.5" x14ac:dyDescent="0.25">
      <c r="A1006" s="349" t="s">
        <v>146</v>
      </c>
      <c r="B1006" s="346">
        <v>908</v>
      </c>
      <c r="C1006" s="347" t="s">
        <v>165</v>
      </c>
      <c r="D1006" s="347" t="s">
        <v>253</v>
      </c>
      <c r="E1006" s="347" t="s">
        <v>1501</v>
      </c>
      <c r="F1006" s="347" t="s">
        <v>147</v>
      </c>
      <c r="G1006" s="321">
        <f>G1007</f>
        <v>350</v>
      </c>
      <c r="H1006" s="321">
        <f t="shared" si="494"/>
        <v>350</v>
      </c>
      <c r="I1006" s="321">
        <f t="shared" si="481"/>
        <v>100</v>
      </c>
    </row>
    <row r="1007" spans="1:9" s="211" customFormat="1" ht="31.5" x14ac:dyDescent="0.25">
      <c r="A1007" s="349" t="s">
        <v>148</v>
      </c>
      <c r="B1007" s="346">
        <v>908</v>
      </c>
      <c r="C1007" s="347" t="s">
        <v>165</v>
      </c>
      <c r="D1007" s="347" t="s">
        <v>253</v>
      </c>
      <c r="E1007" s="347" t="s">
        <v>1501</v>
      </c>
      <c r="F1007" s="347" t="s">
        <v>149</v>
      </c>
      <c r="G1007" s="321">
        <v>350</v>
      </c>
      <c r="H1007" s="321">
        <v>350</v>
      </c>
      <c r="I1007" s="321">
        <f t="shared" si="481"/>
        <v>100</v>
      </c>
    </row>
    <row r="1008" spans="1:9" ht="15.75" x14ac:dyDescent="0.25">
      <c r="A1008" s="318" t="s">
        <v>405</v>
      </c>
      <c r="B1008" s="315">
        <v>908</v>
      </c>
      <c r="C1008" s="319" t="s">
        <v>249</v>
      </c>
      <c r="D1008" s="319"/>
      <c r="E1008" s="319"/>
      <c r="F1008" s="319"/>
      <c r="G1008" s="317">
        <f>G1009+G1026+G1096+G1147</f>
        <v>86192.4182</v>
      </c>
      <c r="H1008" s="317">
        <f t="shared" ref="H1008" si="495">H1009+H1026+H1096+H1147</f>
        <v>81998.183799999999</v>
      </c>
      <c r="I1008" s="317">
        <f t="shared" si="481"/>
        <v>95.133870835056811</v>
      </c>
    </row>
    <row r="1009" spans="1:9" ht="15.75" x14ac:dyDescent="0.25">
      <c r="A1009" s="318" t="s">
        <v>406</v>
      </c>
      <c r="B1009" s="315">
        <v>908</v>
      </c>
      <c r="C1009" s="319" t="s">
        <v>249</v>
      </c>
      <c r="D1009" s="319" t="s">
        <v>133</v>
      </c>
      <c r="E1009" s="319"/>
      <c r="F1009" s="319"/>
      <c r="G1009" s="317">
        <f>G1010</f>
        <v>7065.7000000000007</v>
      </c>
      <c r="H1009" s="317">
        <f t="shared" ref="H1009:H1010" si="496">H1010</f>
        <v>7021.2430000000004</v>
      </c>
      <c r="I1009" s="317">
        <f t="shared" si="481"/>
        <v>99.370805440366837</v>
      </c>
    </row>
    <row r="1010" spans="1:9" ht="15.75" x14ac:dyDescent="0.25">
      <c r="A1010" s="318" t="s">
        <v>156</v>
      </c>
      <c r="B1010" s="315">
        <v>908</v>
      </c>
      <c r="C1010" s="319" t="s">
        <v>249</v>
      </c>
      <c r="D1010" s="319" t="s">
        <v>133</v>
      </c>
      <c r="E1010" s="319" t="s">
        <v>910</v>
      </c>
      <c r="F1010" s="319"/>
      <c r="G1010" s="317">
        <f>G1011</f>
        <v>7065.7000000000007</v>
      </c>
      <c r="H1010" s="317">
        <f t="shared" si="496"/>
        <v>7021.2430000000004</v>
      </c>
      <c r="I1010" s="317">
        <f t="shared" si="481"/>
        <v>99.370805440366837</v>
      </c>
    </row>
    <row r="1011" spans="1:9" ht="31.5" x14ac:dyDescent="0.25">
      <c r="A1011" s="318" t="s">
        <v>914</v>
      </c>
      <c r="B1011" s="315">
        <v>908</v>
      </c>
      <c r="C1011" s="319" t="s">
        <v>249</v>
      </c>
      <c r="D1011" s="319" t="s">
        <v>133</v>
      </c>
      <c r="E1011" s="319" t="s">
        <v>909</v>
      </c>
      <c r="F1011" s="319"/>
      <c r="G1011" s="317">
        <f>G1020+G1017+G1012+G1023</f>
        <v>7065.7000000000007</v>
      </c>
      <c r="H1011" s="317">
        <f t="shared" ref="H1011" si="497">H1020+H1017+H1012+H1023</f>
        <v>7021.2430000000004</v>
      </c>
      <c r="I1011" s="317">
        <f t="shared" si="481"/>
        <v>99.370805440366837</v>
      </c>
    </row>
    <row r="1012" spans="1:9" ht="15.75" x14ac:dyDescent="0.25">
      <c r="A1012" s="349" t="s">
        <v>530</v>
      </c>
      <c r="B1012" s="346">
        <v>908</v>
      </c>
      <c r="C1012" s="347" t="s">
        <v>795</v>
      </c>
      <c r="D1012" s="347" t="s">
        <v>133</v>
      </c>
      <c r="E1012" s="347" t="s">
        <v>1094</v>
      </c>
      <c r="F1012" s="319"/>
      <c r="G1012" s="321">
        <f>G1015+G1013</f>
        <v>1633.9</v>
      </c>
      <c r="H1012" s="321">
        <f t="shared" ref="H1012" si="498">H1015+H1013</f>
        <v>1589.655</v>
      </c>
      <c r="I1012" s="321">
        <f t="shared" si="481"/>
        <v>97.292061937695067</v>
      </c>
    </row>
    <row r="1013" spans="1:9" s="211" customFormat="1" ht="31.5" x14ac:dyDescent="0.25">
      <c r="A1013" s="349" t="s">
        <v>146</v>
      </c>
      <c r="B1013" s="346">
        <v>908</v>
      </c>
      <c r="C1013" s="347" t="s">
        <v>249</v>
      </c>
      <c r="D1013" s="347" t="s">
        <v>133</v>
      </c>
      <c r="E1013" s="347" t="s">
        <v>1094</v>
      </c>
      <c r="F1013" s="347" t="s">
        <v>147</v>
      </c>
      <c r="G1013" s="321">
        <f>G1014</f>
        <v>633.90000000000009</v>
      </c>
      <c r="H1013" s="321">
        <f t="shared" ref="H1013" si="499">H1014</f>
        <v>589.65499999999997</v>
      </c>
      <c r="I1013" s="321">
        <f t="shared" si="481"/>
        <v>93.020192459378436</v>
      </c>
    </row>
    <row r="1014" spans="1:9" s="211" customFormat="1" ht="31.5" x14ac:dyDescent="0.25">
      <c r="A1014" s="349" t="s">
        <v>148</v>
      </c>
      <c r="B1014" s="346">
        <v>908</v>
      </c>
      <c r="C1014" s="347" t="s">
        <v>249</v>
      </c>
      <c r="D1014" s="347" t="s">
        <v>133</v>
      </c>
      <c r="E1014" s="347" t="s">
        <v>1094</v>
      </c>
      <c r="F1014" s="347" t="s">
        <v>149</v>
      </c>
      <c r="G1014" s="321">
        <f>140+134+35+35+20+20+30+30+20+361.2+20+361.2-80-25-105-150-200-12.5</f>
        <v>633.90000000000009</v>
      </c>
      <c r="H1014" s="321">
        <v>589.65499999999997</v>
      </c>
      <c r="I1014" s="321">
        <f t="shared" si="481"/>
        <v>93.020192459378436</v>
      </c>
    </row>
    <row r="1015" spans="1:9" ht="15.75" x14ac:dyDescent="0.25">
      <c r="A1015" s="349" t="s">
        <v>150</v>
      </c>
      <c r="B1015" s="346">
        <v>908</v>
      </c>
      <c r="C1015" s="347" t="s">
        <v>249</v>
      </c>
      <c r="D1015" s="347" t="s">
        <v>133</v>
      </c>
      <c r="E1015" s="347" t="s">
        <v>1094</v>
      </c>
      <c r="F1015" s="347" t="s">
        <v>160</v>
      </c>
      <c r="G1015" s="321">
        <f>G1016</f>
        <v>1000</v>
      </c>
      <c r="H1015" s="321">
        <f t="shared" ref="H1015" si="500">H1016</f>
        <v>1000</v>
      </c>
      <c r="I1015" s="321">
        <f t="shared" si="481"/>
        <v>100</v>
      </c>
    </row>
    <row r="1016" spans="1:9" ht="48.75" customHeight="1" x14ac:dyDescent="0.25">
      <c r="A1016" s="349" t="s">
        <v>199</v>
      </c>
      <c r="B1016" s="346">
        <v>908</v>
      </c>
      <c r="C1016" s="347" t="s">
        <v>249</v>
      </c>
      <c r="D1016" s="347" t="s">
        <v>133</v>
      </c>
      <c r="E1016" s="347" t="s">
        <v>1094</v>
      </c>
      <c r="F1016" s="347" t="s">
        <v>175</v>
      </c>
      <c r="G1016" s="321">
        <v>1000</v>
      </c>
      <c r="H1016" s="321">
        <v>1000</v>
      </c>
      <c r="I1016" s="321">
        <f t="shared" si="481"/>
        <v>100</v>
      </c>
    </row>
    <row r="1017" spans="1:9" ht="31.5" x14ac:dyDescent="0.25">
      <c r="A1017" s="323" t="s">
        <v>413</v>
      </c>
      <c r="B1017" s="346">
        <v>908</v>
      </c>
      <c r="C1017" s="347" t="s">
        <v>249</v>
      </c>
      <c r="D1017" s="347" t="s">
        <v>133</v>
      </c>
      <c r="E1017" s="347" t="s">
        <v>1095</v>
      </c>
      <c r="F1017" s="319"/>
      <c r="G1017" s="321">
        <f>G1018</f>
        <v>4304.1000000000004</v>
      </c>
      <c r="H1017" s="321">
        <f t="shared" ref="H1017:H1018" si="501">H1018</f>
        <v>4303.9480000000003</v>
      </c>
      <c r="I1017" s="321">
        <f t="shared" si="481"/>
        <v>99.996468483538948</v>
      </c>
    </row>
    <row r="1018" spans="1:9" ht="31.5" x14ac:dyDescent="0.25">
      <c r="A1018" s="349" t="s">
        <v>146</v>
      </c>
      <c r="B1018" s="346">
        <v>908</v>
      </c>
      <c r="C1018" s="347" t="s">
        <v>249</v>
      </c>
      <c r="D1018" s="347" t="s">
        <v>133</v>
      </c>
      <c r="E1018" s="347" t="s">
        <v>1095</v>
      </c>
      <c r="F1018" s="347" t="s">
        <v>147</v>
      </c>
      <c r="G1018" s="321">
        <f>G1019</f>
        <v>4304.1000000000004</v>
      </c>
      <c r="H1018" s="321">
        <f t="shared" si="501"/>
        <v>4303.9480000000003</v>
      </c>
      <c r="I1018" s="321">
        <f t="shared" si="481"/>
        <v>99.996468483538948</v>
      </c>
    </row>
    <row r="1019" spans="1:9" ht="33" customHeight="1" x14ac:dyDescent="0.25">
      <c r="A1019" s="349" t="s">
        <v>148</v>
      </c>
      <c r="B1019" s="346">
        <v>908</v>
      </c>
      <c r="C1019" s="347" t="s">
        <v>249</v>
      </c>
      <c r="D1019" s="347" t="s">
        <v>133</v>
      </c>
      <c r="E1019" s="347" t="s">
        <v>1095</v>
      </c>
      <c r="F1019" s="347" t="s">
        <v>149</v>
      </c>
      <c r="G1019" s="339">
        <f>4020+278.6+5.5</f>
        <v>4304.1000000000004</v>
      </c>
      <c r="H1019" s="339">
        <v>4303.9480000000003</v>
      </c>
      <c r="I1019" s="321">
        <f t="shared" si="481"/>
        <v>99.996468483538948</v>
      </c>
    </row>
    <row r="1020" spans="1:9" ht="31.5" x14ac:dyDescent="0.25">
      <c r="A1020" s="323" t="s">
        <v>1003</v>
      </c>
      <c r="B1020" s="346">
        <v>908</v>
      </c>
      <c r="C1020" s="347" t="s">
        <v>249</v>
      </c>
      <c r="D1020" s="347" t="s">
        <v>133</v>
      </c>
      <c r="E1020" s="347" t="s">
        <v>1096</v>
      </c>
      <c r="F1020" s="319"/>
      <c r="G1020" s="321">
        <f>G1021</f>
        <v>1127.7</v>
      </c>
      <c r="H1020" s="321">
        <f t="shared" ref="H1020:H1021" si="502">H1021</f>
        <v>1127.6400000000001</v>
      </c>
      <c r="I1020" s="321">
        <f t="shared" si="481"/>
        <v>99.994679436020235</v>
      </c>
    </row>
    <row r="1021" spans="1:9" ht="31.5" x14ac:dyDescent="0.25">
      <c r="A1021" s="349" t="s">
        <v>146</v>
      </c>
      <c r="B1021" s="346">
        <v>908</v>
      </c>
      <c r="C1021" s="347" t="s">
        <v>249</v>
      </c>
      <c r="D1021" s="347" t="s">
        <v>133</v>
      </c>
      <c r="E1021" s="347" t="s">
        <v>1096</v>
      </c>
      <c r="F1021" s="347" t="s">
        <v>147</v>
      </c>
      <c r="G1021" s="321">
        <f>G1022</f>
        <v>1127.7</v>
      </c>
      <c r="H1021" s="321">
        <f t="shared" si="502"/>
        <v>1127.6400000000001</v>
      </c>
      <c r="I1021" s="321">
        <f t="shared" si="481"/>
        <v>99.994679436020235</v>
      </c>
    </row>
    <row r="1022" spans="1:9" ht="33" customHeight="1" x14ac:dyDescent="0.25">
      <c r="A1022" s="349" t="s">
        <v>148</v>
      </c>
      <c r="B1022" s="346">
        <v>908</v>
      </c>
      <c r="C1022" s="347" t="s">
        <v>249</v>
      </c>
      <c r="D1022" s="347" t="s">
        <v>133</v>
      </c>
      <c r="E1022" s="347" t="s">
        <v>1096</v>
      </c>
      <c r="F1022" s="347" t="s">
        <v>149</v>
      </c>
      <c r="G1022" s="321">
        <f>1140-12.3</f>
        <v>1127.7</v>
      </c>
      <c r="H1022" s="321">
        <v>1127.6400000000001</v>
      </c>
      <c r="I1022" s="321">
        <f t="shared" si="481"/>
        <v>99.994679436020235</v>
      </c>
    </row>
    <row r="1023" spans="1:9" s="310" customFormat="1" ht="33" hidden="1" customHeight="1" x14ac:dyDescent="0.25">
      <c r="A1023" s="349" t="s">
        <v>1513</v>
      </c>
      <c r="B1023" s="346">
        <v>908</v>
      </c>
      <c r="C1023" s="347" t="s">
        <v>249</v>
      </c>
      <c r="D1023" s="347" t="s">
        <v>133</v>
      </c>
      <c r="E1023" s="347" t="s">
        <v>1514</v>
      </c>
      <c r="F1023" s="347"/>
      <c r="G1023" s="321">
        <f>G1024</f>
        <v>0</v>
      </c>
      <c r="H1023" s="321">
        <f t="shared" ref="H1023:H1024" si="503">H1024</f>
        <v>0</v>
      </c>
      <c r="I1023" s="321" t="e">
        <f t="shared" si="481"/>
        <v>#DIV/0!</v>
      </c>
    </row>
    <row r="1024" spans="1:9" s="310" customFormat="1" ht="15.75" hidden="1" x14ac:dyDescent="0.25">
      <c r="A1024" s="349" t="s">
        <v>150</v>
      </c>
      <c r="B1024" s="346">
        <v>908</v>
      </c>
      <c r="C1024" s="347" t="s">
        <v>249</v>
      </c>
      <c r="D1024" s="347" t="s">
        <v>133</v>
      </c>
      <c r="E1024" s="347" t="s">
        <v>1514</v>
      </c>
      <c r="F1024" s="347" t="s">
        <v>160</v>
      </c>
      <c r="G1024" s="321">
        <f>G1025</f>
        <v>0</v>
      </c>
      <c r="H1024" s="321">
        <f t="shared" si="503"/>
        <v>0</v>
      </c>
      <c r="I1024" s="321" t="e">
        <f t="shared" si="481"/>
        <v>#DIV/0!</v>
      </c>
    </row>
    <row r="1025" spans="1:9" s="310" customFormat="1" ht="51" hidden="1" customHeight="1" x14ac:dyDescent="0.25">
      <c r="A1025" s="349" t="s">
        <v>199</v>
      </c>
      <c r="B1025" s="346">
        <v>908</v>
      </c>
      <c r="C1025" s="347" t="s">
        <v>249</v>
      </c>
      <c r="D1025" s="347" t="s">
        <v>133</v>
      </c>
      <c r="E1025" s="347" t="s">
        <v>1514</v>
      </c>
      <c r="F1025" s="347" t="s">
        <v>175</v>
      </c>
      <c r="G1025" s="321">
        <f>150.4-35-115.4</f>
        <v>0</v>
      </c>
      <c r="H1025" s="321">
        <f t="shared" ref="H1025" si="504">150.4-35-115.4</f>
        <v>0</v>
      </c>
      <c r="I1025" s="321" t="e">
        <f t="shared" si="481"/>
        <v>#DIV/0!</v>
      </c>
    </row>
    <row r="1026" spans="1:9" ht="15.75" x14ac:dyDescent="0.25">
      <c r="A1026" s="318" t="s">
        <v>532</v>
      </c>
      <c r="B1026" s="315">
        <v>908</v>
      </c>
      <c r="C1026" s="319" t="s">
        <v>249</v>
      </c>
      <c r="D1026" s="319" t="s">
        <v>228</v>
      </c>
      <c r="E1026" s="319"/>
      <c r="F1026" s="319"/>
      <c r="G1026" s="317">
        <f>G1027+G1062+G1091</f>
        <v>50591.5</v>
      </c>
      <c r="H1026" s="317">
        <f t="shared" ref="H1026" si="505">H1027+H1062+H1091</f>
        <v>47200.3848</v>
      </c>
      <c r="I1026" s="317">
        <f t="shared" si="481"/>
        <v>93.297065317296386</v>
      </c>
    </row>
    <row r="1027" spans="1:9" s="211" customFormat="1" ht="15.75" x14ac:dyDescent="0.25">
      <c r="A1027" s="318" t="s">
        <v>156</v>
      </c>
      <c r="B1027" s="315">
        <v>908</v>
      </c>
      <c r="C1027" s="319" t="s">
        <v>249</v>
      </c>
      <c r="D1027" s="319" t="s">
        <v>228</v>
      </c>
      <c r="E1027" s="319" t="s">
        <v>910</v>
      </c>
      <c r="F1027" s="319"/>
      <c r="G1027" s="317">
        <f>G1028+G1045</f>
        <v>50392.5</v>
      </c>
      <c r="H1027" s="317">
        <f t="shared" ref="H1027" si="506">H1028+H1045</f>
        <v>47001.3848</v>
      </c>
      <c r="I1027" s="317">
        <f t="shared" si="481"/>
        <v>93.270595425906635</v>
      </c>
    </row>
    <row r="1028" spans="1:9" s="211" customFormat="1" ht="31.5" x14ac:dyDescent="0.25">
      <c r="A1028" s="318" t="s">
        <v>914</v>
      </c>
      <c r="B1028" s="315">
        <v>908</v>
      </c>
      <c r="C1028" s="319" t="s">
        <v>249</v>
      </c>
      <c r="D1028" s="319" t="s">
        <v>228</v>
      </c>
      <c r="E1028" s="319" t="s">
        <v>909</v>
      </c>
      <c r="F1028" s="319"/>
      <c r="G1028" s="317">
        <f>G1029+G1037+G1042</f>
        <v>28192.5</v>
      </c>
      <c r="H1028" s="317">
        <f t="shared" ref="H1028" si="507">H1029+H1037+H1042</f>
        <v>28104.037</v>
      </c>
      <c r="I1028" s="317">
        <f t="shared" si="481"/>
        <v>99.686217965771036</v>
      </c>
    </row>
    <row r="1029" spans="1:9" s="211" customFormat="1" ht="15.75" x14ac:dyDescent="0.25">
      <c r="A1029" s="35" t="s">
        <v>552</v>
      </c>
      <c r="B1029" s="346">
        <v>908</v>
      </c>
      <c r="C1029" s="347" t="s">
        <v>249</v>
      </c>
      <c r="D1029" s="347" t="s">
        <v>228</v>
      </c>
      <c r="E1029" s="347" t="s">
        <v>1113</v>
      </c>
      <c r="F1029" s="347"/>
      <c r="G1029" s="321">
        <f>G1030+G1034+G1032</f>
        <v>1874.3999999999999</v>
      </c>
      <c r="H1029" s="321">
        <f t="shared" ref="H1029" si="508">H1030+H1034+H1032</f>
        <v>1870.1525000000001</v>
      </c>
      <c r="I1029" s="321">
        <f t="shared" si="481"/>
        <v>99.773394152795575</v>
      </c>
    </row>
    <row r="1030" spans="1:9" s="211" customFormat="1" ht="31.5" x14ac:dyDescent="0.25">
      <c r="A1030" s="349" t="s">
        <v>146</v>
      </c>
      <c r="B1030" s="346">
        <v>908</v>
      </c>
      <c r="C1030" s="347" t="s">
        <v>249</v>
      </c>
      <c r="D1030" s="347" t="s">
        <v>228</v>
      </c>
      <c r="E1030" s="347" t="s">
        <v>1113</v>
      </c>
      <c r="F1030" s="347" t="s">
        <v>147</v>
      </c>
      <c r="G1030" s="321">
        <f>G1031</f>
        <v>595</v>
      </c>
      <c r="H1030" s="321">
        <f t="shared" ref="H1030" si="509">H1031</f>
        <v>590.91899999999998</v>
      </c>
      <c r="I1030" s="321">
        <f t="shared" si="481"/>
        <v>99.314117647058822</v>
      </c>
    </row>
    <row r="1031" spans="1:9" s="211" customFormat="1" ht="31.5" x14ac:dyDescent="0.25">
      <c r="A1031" s="349" t="s">
        <v>148</v>
      </c>
      <c r="B1031" s="346">
        <v>908</v>
      </c>
      <c r="C1031" s="347" t="s">
        <v>249</v>
      </c>
      <c r="D1031" s="347" t="s">
        <v>228</v>
      </c>
      <c r="E1031" s="347" t="s">
        <v>1113</v>
      </c>
      <c r="F1031" s="347" t="s">
        <v>149</v>
      </c>
      <c r="G1031" s="215">
        <f>1271.6-1271.6+120+200+41.2-241.2+350+105+20</f>
        <v>595</v>
      </c>
      <c r="H1031" s="215">
        <v>590.91899999999998</v>
      </c>
      <c r="I1031" s="321">
        <f t="shared" si="481"/>
        <v>99.314117647058822</v>
      </c>
    </row>
    <row r="1032" spans="1:9" s="211" customFormat="1" ht="31.5" x14ac:dyDescent="0.25">
      <c r="A1032" s="349" t="s">
        <v>882</v>
      </c>
      <c r="B1032" s="346">
        <v>908</v>
      </c>
      <c r="C1032" s="347" t="s">
        <v>249</v>
      </c>
      <c r="D1032" s="347" t="s">
        <v>228</v>
      </c>
      <c r="E1032" s="347" t="s">
        <v>1113</v>
      </c>
      <c r="F1032" s="347" t="s">
        <v>881</v>
      </c>
      <c r="G1032" s="215">
        <f>G1033</f>
        <v>1271.5999999999999</v>
      </c>
      <c r="H1032" s="215">
        <f t="shared" ref="H1032" si="510">H1033</f>
        <v>1271.5195000000001</v>
      </c>
      <c r="I1032" s="321">
        <f t="shared" si="481"/>
        <v>99.993669392890865</v>
      </c>
    </row>
    <row r="1033" spans="1:9" s="211" customFormat="1" ht="47.25" x14ac:dyDescent="0.25">
      <c r="A1033" s="349" t="s">
        <v>1222</v>
      </c>
      <c r="B1033" s="346">
        <v>908</v>
      </c>
      <c r="C1033" s="347" t="s">
        <v>249</v>
      </c>
      <c r="D1033" s="347" t="s">
        <v>228</v>
      </c>
      <c r="E1033" s="347" t="s">
        <v>1113</v>
      </c>
      <c r="F1033" s="347" t="s">
        <v>1244</v>
      </c>
      <c r="G1033" s="215">
        <v>1271.5999999999999</v>
      </c>
      <c r="H1033" s="215">
        <v>1271.5195000000001</v>
      </c>
      <c r="I1033" s="321">
        <f t="shared" ref="I1033:I1096" si="511">H1033/G1033*100</f>
        <v>99.993669392890865</v>
      </c>
    </row>
    <row r="1034" spans="1:9" s="211" customFormat="1" ht="15.75" x14ac:dyDescent="0.25">
      <c r="A1034" s="349" t="s">
        <v>150</v>
      </c>
      <c r="B1034" s="346">
        <v>908</v>
      </c>
      <c r="C1034" s="347" t="s">
        <v>249</v>
      </c>
      <c r="D1034" s="347" t="s">
        <v>228</v>
      </c>
      <c r="E1034" s="347" t="s">
        <v>1113</v>
      </c>
      <c r="F1034" s="347" t="s">
        <v>160</v>
      </c>
      <c r="G1034" s="215">
        <f>G1035+G1036</f>
        <v>7.8</v>
      </c>
      <c r="H1034" s="215">
        <f t="shared" ref="H1034" si="512">H1035+H1036</f>
        <v>7.7140000000000004</v>
      </c>
      <c r="I1034" s="321">
        <f t="shared" si="511"/>
        <v>98.897435897435898</v>
      </c>
    </row>
    <row r="1035" spans="1:9" s="211" customFormat="1" ht="47.25" hidden="1" x14ac:dyDescent="0.25">
      <c r="A1035" s="349" t="s">
        <v>199</v>
      </c>
      <c r="B1035" s="346">
        <v>908</v>
      </c>
      <c r="C1035" s="347" t="s">
        <v>249</v>
      </c>
      <c r="D1035" s="347" t="s">
        <v>228</v>
      </c>
      <c r="E1035" s="347" t="s">
        <v>1113</v>
      </c>
      <c r="F1035" s="347" t="s">
        <v>175</v>
      </c>
      <c r="G1035" s="215">
        <v>0</v>
      </c>
      <c r="H1035" s="215">
        <v>0</v>
      </c>
      <c r="I1035" s="321" t="e">
        <f t="shared" si="511"/>
        <v>#DIV/0!</v>
      </c>
    </row>
    <row r="1036" spans="1:9" s="211" customFormat="1" ht="15.75" x14ac:dyDescent="0.25">
      <c r="A1036" s="349" t="s">
        <v>161</v>
      </c>
      <c r="B1036" s="346">
        <v>908</v>
      </c>
      <c r="C1036" s="347" t="s">
        <v>249</v>
      </c>
      <c r="D1036" s="347" t="s">
        <v>228</v>
      </c>
      <c r="E1036" s="347" t="s">
        <v>1113</v>
      </c>
      <c r="F1036" s="347" t="s">
        <v>162</v>
      </c>
      <c r="G1036" s="215">
        <v>7.8</v>
      </c>
      <c r="H1036" s="215">
        <v>7.7140000000000004</v>
      </c>
      <c r="I1036" s="321">
        <f t="shared" si="511"/>
        <v>98.897435897435898</v>
      </c>
    </row>
    <row r="1037" spans="1:9" s="211" customFormat="1" ht="31.5" x14ac:dyDescent="0.25">
      <c r="A1037" s="323" t="s">
        <v>1003</v>
      </c>
      <c r="B1037" s="346">
        <v>908</v>
      </c>
      <c r="C1037" s="347" t="s">
        <v>249</v>
      </c>
      <c r="D1037" s="347" t="s">
        <v>228</v>
      </c>
      <c r="E1037" s="347" t="s">
        <v>1096</v>
      </c>
      <c r="F1037" s="347"/>
      <c r="G1037" s="321">
        <f>G1040+G1038</f>
        <v>12320.4</v>
      </c>
      <c r="H1037" s="321">
        <f t="shared" ref="H1037" si="513">H1040+H1038</f>
        <v>12236.244500000001</v>
      </c>
      <c r="I1037" s="321">
        <f t="shared" si="511"/>
        <v>99.316941820070781</v>
      </c>
    </row>
    <row r="1038" spans="1:9" s="211" customFormat="1" ht="31.5" x14ac:dyDescent="0.25">
      <c r="A1038" s="349" t="s">
        <v>146</v>
      </c>
      <c r="B1038" s="346">
        <v>908</v>
      </c>
      <c r="C1038" s="347" t="s">
        <v>249</v>
      </c>
      <c r="D1038" s="347" t="s">
        <v>228</v>
      </c>
      <c r="E1038" s="347" t="s">
        <v>1096</v>
      </c>
      <c r="F1038" s="347" t="s">
        <v>147</v>
      </c>
      <c r="G1038" s="321">
        <f>G1039</f>
        <v>12320.4</v>
      </c>
      <c r="H1038" s="321">
        <f t="shared" ref="H1038" si="514">H1039</f>
        <v>12236.244500000001</v>
      </c>
      <c r="I1038" s="321">
        <f t="shared" si="511"/>
        <v>99.316941820070781</v>
      </c>
    </row>
    <row r="1039" spans="1:9" s="211" customFormat="1" ht="31.5" x14ac:dyDescent="0.25">
      <c r="A1039" s="349" t="s">
        <v>148</v>
      </c>
      <c r="B1039" s="346">
        <v>908</v>
      </c>
      <c r="C1039" s="347" t="s">
        <v>249</v>
      </c>
      <c r="D1039" s="347" t="s">
        <v>228</v>
      </c>
      <c r="E1039" s="347" t="s">
        <v>1096</v>
      </c>
      <c r="F1039" s="347" t="s">
        <v>149</v>
      </c>
      <c r="G1039" s="321">
        <f>5000+700+661.5-661.5+3508.4+819.098+448+664.8+701.2+478.902</f>
        <v>12320.4</v>
      </c>
      <c r="H1039" s="321">
        <v>12236.244500000001</v>
      </c>
      <c r="I1039" s="321">
        <f t="shared" si="511"/>
        <v>99.316941820070781</v>
      </c>
    </row>
    <row r="1040" spans="1:9" s="211" customFormat="1" ht="15.75" hidden="1" x14ac:dyDescent="0.25">
      <c r="A1040" s="349" t="s">
        <v>150</v>
      </c>
      <c r="B1040" s="346">
        <v>908</v>
      </c>
      <c r="C1040" s="347" t="s">
        <v>249</v>
      </c>
      <c r="D1040" s="347" t="s">
        <v>228</v>
      </c>
      <c r="E1040" s="347" t="s">
        <v>1096</v>
      </c>
      <c r="F1040" s="347" t="s">
        <v>160</v>
      </c>
      <c r="G1040" s="321">
        <f>G1041</f>
        <v>0</v>
      </c>
      <c r="H1040" s="321">
        <f t="shared" ref="H1040" si="515">H1041</f>
        <v>0</v>
      </c>
      <c r="I1040" s="321" t="e">
        <f t="shared" si="511"/>
        <v>#DIV/0!</v>
      </c>
    </row>
    <row r="1041" spans="1:9" ht="15.75" hidden="1" x14ac:dyDescent="0.25">
      <c r="A1041" s="349" t="s">
        <v>161</v>
      </c>
      <c r="B1041" s="346">
        <v>908</v>
      </c>
      <c r="C1041" s="347" t="s">
        <v>249</v>
      </c>
      <c r="D1041" s="347" t="s">
        <v>228</v>
      </c>
      <c r="E1041" s="347" t="s">
        <v>1096</v>
      </c>
      <c r="F1041" s="347" t="s">
        <v>162</v>
      </c>
      <c r="G1041" s="321">
        <v>0</v>
      </c>
      <c r="H1041" s="321">
        <v>0</v>
      </c>
      <c r="I1041" s="321" t="e">
        <f t="shared" si="511"/>
        <v>#DIV/0!</v>
      </c>
    </row>
    <row r="1042" spans="1:9" s="310" customFormat="1" ht="63" x14ac:dyDescent="0.25">
      <c r="A1042" s="349" t="s">
        <v>1571</v>
      </c>
      <c r="B1042" s="346">
        <v>908</v>
      </c>
      <c r="C1042" s="347" t="s">
        <v>249</v>
      </c>
      <c r="D1042" s="347" t="s">
        <v>228</v>
      </c>
      <c r="E1042" s="347" t="s">
        <v>1570</v>
      </c>
      <c r="F1042" s="347"/>
      <c r="G1042" s="321">
        <f>G1043</f>
        <v>13997.7</v>
      </c>
      <c r="H1042" s="321">
        <f t="shared" ref="H1042:H1043" si="516">H1043</f>
        <v>13997.64</v>
      </c>
      <c r="I1042" s="321">
        <f t="shared" si="511"/>
        <v>99.999571358151684</v>
      </c>
    </row>
    <row r="1043" spans="1:9" s="310" customFormat="1" ht="15.75" x14ac:dyDescent="0.25">
      <c r="A1043" s="349" t="s">
        <v>150</v>
      </c>
      <c r="B1043" s="346">
        <v>908</v>
      </c>
      <c r="C1043" s="347" t="s">
        <v>249</v>
      </c>
      <c r="D1043" s="347" t="s">
        <v>228</v>
      </c>
      <c r="E1043" s="347" t="s">
        <v>1570</v>
      </c>
      <c r="F1043" s="347" t="s">
        <v>160</v>
      </c>
      <c r="G1043" s="321">
        <f>G1044</f>
        <v>13997.7</v>
      </c>
      <c r="H1043" s="321">
        <f t="shared" si="516"/>
        <v>13997.64</v>
      </c>
      <c r="I1043" s="321">
        <f t="shared" si="511"/>
        <v>99.999571358151684</v>
      </c>
    </row>
    <row r="1044" spans="1:9" s="310" customFormat="1" ht="47.25" x14ac:dyDescent="0.25">
      <c r="A1044" s="349" t="s">
        <v>199</v>
      </c>
      <c r="B1044" s="346">
        <v>908</v>
      </c>
      <c r="C1044" s="347" t="s">
        <v>249</v>
      </c>
      <c r="D1044" s="347" t="s">
        <v>228</v>
      </c>
      <c r="E1044" s="347" t="s">
        <v>1570</v>
      </c>
      <c r="F1044" s="347" t="s">
        <v>175</v>
      </c>
      <c r="G1044" s="321">
        <f>15000-1002.3</f>
        <v>13997.7</v>
      </c>
      <c r="H1044" s="321">
        <v>13997.64</v>
      </c>
      <c r="I1044" s="321">
        <f t="shared" si="511"/>
        <v>99.999571358151684</v>
      </c>
    </row>
    <row r="1045" spans="1:9" s="211" customFormat="1" ht="48.75" customHeight="1" x14ac:dyDescent="0.25">
      <c r="A1045" s="318" t="s">
        <v>1169</v>
      </c>
      <c r="B1045" s="315">
        <v>908</v>
      </c>
      <c r="C1045" s="319" t="s">
        <v>249</v>
      </c>
      <c r="D1045" s="319" t="s">
        <v>228</v>
      </c>
      <c r="E1045" s="319" t="s">
        <v>1114</v>
      </c>
      <c r="F1045" s="319"/>
      <c r="G1045" s="317">
        <f>G1046+G1054+G1051+G1059</f>
        <v>22200</v>
      </c>
      <c r="H1045" s="317">
        <f t="shared" ref="H1045" si="517">H1046+H1054+H1051+H1059</f>
        <v>18897.347800000003</v>
      </c>
      <c r="I1045" s="317">
        <f t="shared" si="511"/>
        <v>85.123188288288304</v>
      </c>
    </row>
    <row r="1046" spans="1:9" s="211" customFormat="1" ht="35.450000000000003" customHeight="1" x14ac:dyDescent="0.25">
      <c r="A1046" s="349" t="s">
        <v>871</v>
      </c>
      <c r="B1046" s="346">
        <v>908</v>
      </c>
      <c r="C1046" s="347" t="s">
        <v>249</v>
      </c>
      <c r="D1046" s="347" t="s">
        <v>228</v>
      </c>
      <c r="E1046" s="347" t="s">
        <v>1115</v>
      </c>
      <c r="F1046" s="347"/>
      <c r="G1046" s="321">
        <f>G1047+G1049</f>
        <v>22200</v>
      </c>
      <c r="H1046" s="321">
        <f t="shared" ref="H1046" si="518">H1047+H1049</f>
        <v>18897.347800000003</v>
      </c>
      <c r="I1046" s="321">
        <f t="shared" si="511"/>
        <v>85.123188288288304</v>
      </c>
    </row>
    <row r="1047" spans="1:9" s="211" customFormat="1" ht="34.5" customHeight="1" x14ac:dyDescent="0.25">
      <c r="A1047" s="349" t="s">
        <v>146</v>
      </c>
      <c r="B1047" s="346">
        <v>908</v>
      </c>
      <c r="C1047" s="347" t="s">
        <v>249</v>
      </c>
      <c r="D1047" s="347" t="s">
        <v>228</v>
      </c>
      <c r="E1047" s="347" t="s">
        <v>1115</v>
      </c>
      <c r="F1047" s="347" t="s">
        <v>147</v>
      </c>
      <c r="G1047" s="321">
        <f>G1048</f>
        <v>22200.000199999999</v>
      </c>
      <c r="H1047" s="321">
        <f t="shared" ref="H1047" si="519">H1048</f>
        <v>18897.348000000002</v>
      </c>
      <c r="I1047" s="321">
        <f t="shared" si="511"/>
        <v>85.123188422313632</v>
      </c>
    </row>
    <row r="1048" spans="1:9" s="211" customFormat="1" ht="33" customHeight="1" x14ac:dyDescent="0.25">
      <c r="A1048" s="349" t="s">
        <v>148</v>
      </c>
      <c r="B1048" s="346">
        <v>908</v>
      </c>
      <c r="C1048" s="347" t="s">
        <v>249</v>
      </c>
      <c r="D1048" s="347" t="s">
        <v>228</v>
      </c>
      <c r="E1048" s="347" t="s">
        <v>1115</v>
      </c>
      <c r="F1048" s="347" t="s">
        <v>149</v>
      </c>
      <c r="G1048" s="321">
        <f>22200-13739.887+5327.1204-1699.802+8412.7668+1699.802</f>
        <v>22200.000199999999</v>
      </c>
      <c r="H1048" s="321">
        <v>18897.348000000002</v>
      </c>
      <c r="I1048" s="321">
        <f t="shared" si="511"/>
        <v>85.123188422313632</v>
      </c>
    </row>
    <row r="1049" spans="1:9" s="211" customFormat="1" ht="36" hidden="1" customHeight="1" x14ac:dyDescent="0.25">
      <c r="A1049" s="334" t="s">
        <v>882</v>
      </c>
      <c r="B1049" s="346">
        <v>908</v>
      </c>
      <c r="C1049" s="347" t="s">
        <v>249</v>
      </c>
      <c r="D1049" s="347" t="s">
        <v>228</v>
      </c>
      <c r="E1049" s="347" t="s">
        <v>1115</v>
      </c>
      <c r="F1049" s="347" t="s">
        <v>881</v>
      </c>
      <c r="G1049" s="321">
        <f>G1050</f>
        <v>-1.9999999881292752E-4</v>
      </c>
      <c r="H1049" s="321">
        <f t="shared" ref="H1049" si="520">H1050</f>
        <v>-1.9999999881292752E-4</v>
      </c>
      <c r="I1049" s="321">
        <f t="shared" si="511"/>
        <v>100</v>
      </c>
    </row>
    <row r="1050" spans="1:9" s="211" customFormat="1" ht="54.75" hidden="1" customHeight="1" x14ac:dyDescent="0.25">
      <c r="A1050" s="349" t="s">
        <v>1536</v>
      </c>
      <c r="B1050" s="346">
        <v>908</v>
      </c>
      <c r="C1050" s="347" t="s">
        <v>249</v>
      </c>
      <c r="D1050" s="347" t="s">
        <v>228</v>
      </c>
      <c r="E1050" s="347" t="s">
        <v>1115</v>
      </c>
      <c r="F1050" s="347" t="s">
        <v>1244</v>
      </c>
      <c r="G1050" s="321">
        <f>13739.887-5327.1204+1699.802-8412.7668-1699.802</f>
        <v>-1.9999999881292752E-4</v>
      </c>
      <c r="H1050" s="321">
        <f t="shared" ref="H1050" si="521">13739.887-5327.1204+1699.802-8412.7668-1699.802</f>
        <v>-1.9999999881292752E-4</v>
      </c>
      <c r="I1050" s="321">
        <f t="shared" si="511"/>
        <v>100</v>
      </c>
    </row>
    <row r="1051" spans="1:9" s="211" customFormat="1" ht="47.25" hidden="1" customHeight="1" x14ac:dyDescent="0.25">
      <c r="A1051" s="349" t="s">
        <v>822</v>
      </c>
      <c r="B1051" s="346">
        <v>908</v>
      </c>
      <c r="C1051" s="347" t="s">
        <v>249</v>
      </c>
      <c r="D1051" s="347" t="s">
        <v>228</v>
      </c>
      <c r="E1051" s="347" t="s">
        <v>1116</v>
      </c>
      <c r="F1051" s="347"/>
      <c r="G1051" s="321">
        <f>G1052</f>
        <v>0</v>
      </c>
      <c r="H1051" s="321">
        <f t="shared" ref="H1051:H1052" si="522">H1052</f>
        <v>0</v>
      </c>
      <c r="I1051" s="321" t="e">
        <f t="shared" si="511"/>
        <v>#DIV/0!</v>
      </c>
    </row>
    <row r="1052" spans="1:9" s="211" customFormat="1" ht="33.75" hidden="1" customHeight="1" x14ac:dyDescent="0.25">
      <c r="A1052" s="349" t="s">
        <v>146</v>
      </c>
      <c r="B1052" s="346">
        <v>908</v>
      </c>
      <c r="C1052" s="347" t="s">
        <v>249</v>
      </c>
      <c r="D1052" s="347" t="s">
        <v>228</v>
      </c>
      <c r="E1052" s="347" t="s">
        <v>1116</v>
      </c>
      <c r="F1052" s="347" t="s">
        <v>147</v>
      </c>
      <c r="G1052" s="321">
        <f>G1053</f>
        <v>0</v>
      </c>
      <c r="H1052" s="321">
        <f t="shared" si="522"/>
        <v>0</v>
      </c>
      <c r="I1052" s="321" t="e">
        <f t="shared" si="511"/>
        <v>#DIV/0!</v>
      </c>
    </row>
    <row r="1053" spans="1:9" s="211" customFormat="1" ht="32.25" hidden="1" customHeight="1" x14ac:dyDescent="0.25">
      <c r="A1053" s="349" t="s">
        <v>148</v>
      </c>
      <c r="B1053" s="346">
        <v>908</v>
      </c>
      <c r="C1053" s="347" t="s">
        <v>249</v>
      </c>
      <c r="D1053" s="347" t="s">
        <v>228</v>
      </c>
      <c r="E1053" s="347" t="s">
        <v>1116</v>
      </c>
      <c r="F1053" s="347" t="s">
        <v>149</v>
      </c>
      <c r="G1053" s="321">
        <v>0</v>
      </c>
      <c r="H1053" s="321">
        <v>0</v>
      </c>
      <c r="I1053" s="321" t="e">
        <f t="shared" si="511"/>
        <v>#DIV/0!</v>
      </c>
    </row>
    <row r="1054" spans="1:9" s="211" customFormat="1" ht="47.25" hidden="1" customHeight="1" x14ac:dyDescent="0.25">
      <c r="A1054" s="98" t="s">
        <v>877</v>
      </c>
      <c r="B1054" s="346">
        <v>908</v>
      </c>
      <c r="C1054" s="347" t="s">
        <v>249</v>
      </c>
      <c r="D1054" s="347" t="s">
        <v>228</v>
      </c>
      <c r="E1054" s="347" t="s">
        <v>1117</v>
      </c>
      <c r="F1054" s="347"/>
      <c r="G1054" s="321">
        <f>G1055+G1057</f>
        <v>0</v>
      </c>
      <c r="H1054" s="321">
        <f t="shared" ref="H1054" si="523">H1055+H1057</f>
        <v>0</v>
      </c>
      <c r="I1054" s="321" t="e">
        <f t="shared" si="511"/>
        <v>#DIV/0!</v>
      </c>
    </row>
    <row r="1055" spans="1:9" s="211" customFormat="1" ht="34.5" hidden="1" customHeight="1" x14ac:dyDescent="0.25">
      <c r="A1055" s="349" t="s">
        <v>882</v>
      </c>
      <c r="B1055" s="346">
        <v>908</v>
      </c>
      <c r="C1055" s="347" t="s">
        <v>249</v>
      </c>
      <c r="D1055" s="347" t="s">
        <v>228</v>
      </c>
      <c r="E1055" s="347" t="s">
        <v>1117</v>
      </c>
      <c r="F1055" s="347" t="s">
        <v>881</v>
      </c>
      <c r="G1055" s="321">
        <f>G1056</f>
        <v>0</v>
      </c>
      <c r="H1055" s="321">
        <f t="shared" ref="H1055" si="524">H1056</f>
        <v>0</v>
      </c>
      <c r="I1055" s="321" t="e">
        <f t="shared" si="511"/>
        <v>#DIV/0!</v>
      </c>
    </row>
    <row r="1056" spans="1:9" s="211" customFormat="1" ht="47.25" hidden="1" customHeight="1" x14ac:dyDescent="0.25">
      <c r="A1056" s="349" t="s">
        <v>1222</v>
      </c>
      <c r="B1056" s="346">
        <v>908</v>
      </c>
      <c r="C1056" s="347" t="s">
        <v>249</v>
      </c>
      <c r="D1056" s="347" t="s">
        <v>228</v>
      </c>
      <c r="E1056" s="347" t="s">
        <v>1117</v>
      </c>
      <c r="F1056" s="347" t="s">
        <v>1244</v>
      </c>
      <c r="G1056" s="321">
        <v>0</v>
      </c>
      <c r="H1056" s="321">
        <v>0</v>
      </c>
      <c r="I1056" s="321" t="e">
        <f t="shared" si="511"/>
        <v>#DIV/0!</v>
      </c>
    </row>
    <row r="1057" spans="1:9" s="211" customFormat="1" ht="17.45" hidden="1" customHeight="1" x14ac:dyDescent="0.25">
      <c r="A1057" s="349" t="s">
        <v>150</v>
      </c>
      <c r="B1057" s="346">
        <v>908</v>
      </c>
      <c r="C1057" s="347" t="s">
        <v>249</v>
      </c>
      <c r="D1057" s="347" t="s">
        <v>228</v>
      </c>
      <c r="E1057" s="347" t="s">
        <v>1117</v>
      </c>
      <c r="F1057" s="347" t="s">
        <v>160</v>
      </c>
      <c r="G1057" s="321">
        <f>G1058</f>
        <v>0</v>
      </c>
      <c r="H1057" s="321">
        <f t="shared" ref="H1057" si="525">H1058</f>
        <v>0</v>
      </c>
      <c r="I1057" s="321" t="e">
        <f t="shared" si="511"/>
        <v>#DIV/0!</v>
      </c>
    </row>
    <row r="1058" spans="1:9" s="211" customFormat="1" ht="18.75" hidden="1" customHeight="1" x14ac:dyDescent="0.25">
      <c r="A1058" s="349" t="s">
        <v>725</v>
      </c>
      <c r="B1058" s="346">
        <v>908</v>
      </c>
      <c r="C1058" s="347" t="s">
        <v>249</v>
      </c>
      <c r="D1058" s="347" t="s">
        <v>228</v>
      </c>
      <c r="E1058" s="347" t="s">
        <v>1117</v>
      </c>
      <c r="F1058" s="347" t="s">
        <v>153</v>
      </c>
      <c r="G1058" s="321">
        <v>0</v>
      </c>
      <c r="H1058" s="321">
        <v>0</v>
      </c>
      <c r="I1058" s="321" t="e">
        <f t="shared" si="511"/>
        <v>#DIV/0!</v>
      </c>
    </row>
    <row r="1059" spans="1:9" s="211" customFormat="1" ht="38.25" hidden="1" customHeight="1" x14ac:dyDescent="0.25">
      <c r="A1059" s="349" t="s">
        <v>1245</v>
      </c>
      <c r="B1059" s="346">
        <v>908</v>
      </c>
      <c r="C1059" s="347" t="s">
        <v>249</v>
      </c>
      <c r="D1059" s="347" t="s">
        <v>228</v>
      </c>
      <c r="E1059" s="347" t="s">
        <v>1246</v>
      </c>
      <c r="F1059" s="347"/>
      <c r="G1059" s="321">
        <f>G1060</f>
        <v>0</v>
      </c>
      <c r="H1059" s="321">
        <f t="shared" ref="H1059:H1060" si="526">H1060</f>
        <v>0</v>
      </c>
      <c r="I1059" s="321" t="e">
        <f t="shared" si="511"/>
        <v>#DIV/0!</v>
      </c>
    </row>
    <row r="1060" spans="1:9" s="211" customFormat="1" ht="32.25" hidden="1" customHeight="1" x14ac:dyDescent="0.25">
      <c r="A1060" s="349" t="s">
        <v>146</v>
      </c>
      <c r="B1060" s="346">
        <v>908</v>
      </c>
      <c r="C1060" s="347" t="s">
        <v>249</v>
      </c>
      <c r="D1060" s="347" t="s">
        <v>228</v>
      </c>
      <c r="E1060" s="347" t="s">
        <v>1246</v>
      </c>
      <c r="F1060" s="347" t="s">
        <v>147</v>
      </c>
      <c r="G1060" s="321">
        <f>G1061</f>
        <v>0</v>
      </c>
      <c r="H1060" s="321">
        <f t="shared" si="526"/>
        <v>0</v>
      </c>
      <c r="I1060" s="321" t="e">
        <f t="shared" si="511"/>
        <v>#DIV/0!</v>
      </c>
    </row>
    <row r="1061" spans="1:9" s="211" customFormat="1" ht="35.450000000000003" hidden="1" customHeight="1" x14ac:dyDescent="0.25">
      <c r="A1061" s="349" t="s">
        <v>148</v>
      </c>
      <c r="B1061" s="346">
        <v>908</v>
      </c>
      <c r="C1061" s="347" t="s">
        <v>249</v>
      </c>
      <c r="D1061" s="347" t="s">
        <v>228</v>
      </c>
      <c r="E1061" s="347" t="s">
        <v>1246</v>
      </c>
      <c r="F1061" s="347" t="s">
        <v>149</v>
      </c>
      <c r="G1061" s="321">
        <v>0</v>
      </c>
      <c r="H1061" s="321">
        <v>0</v>
      </c>
      <c r="I1061" s="321" t="e">
        <f t="shared" si="511"/>
        <v>#DIV/0!</v>
      </c>
    </row>
    <row r="1062" spans="1:9" s="211" customFormat="1" ht="47.25" customHeight="1" x14ac:dyDescent="0.25">
      <c r="A1062" s="318" t="s">
        <v>1348</v>
      </c>
      <c r="B1062" s="315">
        <v>908</v>
      </c>
      <c r="C1062" s="319" t="s">
        <v>249</v>
      </c>
      <c r="D1062" s="319" t="s">
        <v>228</v>
      </c>
      <c r="E1062" s="319" t="s">
        <v>533</v>
      </c>
      <c r="F1062" s="319"/>
      <c r="G1062" s="317">
        <f>G1063+G1067+G1071+G1075+G1087+G1083</f>
        <v>199</v>
      </c>
      <c r="H1062" s="317">
        <f t="shared" ref="H1062" si="527">H1063+H1067+H1071+H1075+H1087+H1083</f>
        <v>199</v>
      </c>
      <c r="I1062" s="317">
        <f t="shared" si="511"/>
        <v>100</v>
      </c>
    </row>
    <row r="1063" spans="1:9" s="211" customFormat="1" ht="30.75" hidden="1" customHeight="1" x14ac:dyDescent="0.25">
      <c r="A1063" s="318" t="s">
        <v>1097</v>
      </c>
      <c r="B1063" s="315">
        <v>908</v>
      </c>
      <c r="C1063" s="319" t="s">
        <v>249</v>
      </c>
      <c r="D1063" s="319" t="s">
        <v>228</v>
      </c>
      <c r="E1063" s="319" t="s">
        <v>1099</v>
      </c>
      <c r="F1063" s="319"/>
      <c r="G1063" s="317">
        <f>G1064</f>
        <v>0</v>
      </c>
      <c r="H1063" s="317">
        <f t="shared" ref="H1063:H1065" si="528">H1064</f>
        <v>0</v>
      </c>
      <c r="I1063" s="317" t="e">
        <f t="shared" si="511"/>
        <v>#DIV/0!</v>
      </c>
    </row>
    <row r="1064" spans="1:9" ht="15.75" hidden="1" x14ac:dyDescent="0.25">
      <c r="A1064" s="45" t="s">
        <v>1098</v>
      </c>
      <c r="B1064" s="346">
        <v>908</v>
      </c>
      <c r="C1064" s="324" t="s">
        <v>249</v>
      </c>
      <c r="D1064" s="324" t="s">
        <v>228</v>
      </c>
      <c r="E1064" s="347" t="s">
        <v>1100</v>
      </c>
      <c r="F1064" s="324"/>
      <c r="G1064" s="321">
        <f>G1065</f>
        <v>0</v>
      </c>
      <c r="H1064" s="321">
        <f t="shared" si="528"/>
        <v>0</v>
      </c>
      <c r="I1064" s="317" t="e">
        <f t="shared" si="511"/>
        <v>#DIV/0!</v>
      </c>
    </row>
    <row r="1065" spans="1:9" ht="31.5" hidden="1" x14ac:dyDescent="0.25">
      <c r="A1065" s="31" t="s">
        <v>146</v>
      </c>
      <c r="B1065" s="346">
        <v>908</v>
      </c>
      <c r="C1065" s="324" t="s">
        <v>249</v>
      </c>
      <c r="D1065" s="324" t="s">
        <v>228</v>
      </c>
      <c r="E1065" s="347" t="s">
        <v>1100</v>
      </c>
      <c r="F1065" s="324" t="s">
        <v>147</v>
      </c>
      <c r="G1065" s="321">
        <f>G1066</f>
        <v>0</v>
      </c>
      <c r="H1065" s="321">
        <f t="shared" si="528"/>
        <v>0</v>
      </c>
      <c r="I1065" s="317" t="e">
        <f t="shared" si="511"/>
        <v>#DIV/0!</v>
      </c>
    </row>
    <row r="1066" spans="1:9" ht="31.5" hidden="1" x14ac:dyDescent="0.25">
      <c r="A1066" s="31" t="s">
        <v>148</v>
      </c>
      <c r="B1066" s="346">
        <v>908</v>
      </c>
      <c r="C1066" s="324" t="s">
        <v>249</v>
      </c>
      <c r="D1066" s="324" t="s">
        <v>228</v>
      </c>
      <c r="E1066" s="347" t="s">
        <v>1100</v>
      </c>
      <c r="F1066" s="324" t="s">
        <v>149</v>
      </c>
      <c r="G1066" s="321">
        <v>0</v>
      </c>
      <c r="H1066" s="321">
        <v>0</v>
      </c>
      <c r="I1066" s="317" t="e">
        <f t="shared" si="511"/>
        <v>#DIV/0!</v>
      </c>
    </row>
    <row r="1067" spans="1:9" s="211" customFormat="1" ht="15.75" x14ac:dyDescent="0.25">
      <c r="A1067" s="34" t="s">
        <v>1101</v>
      </c>
      <c r="B1067" s="315">
        <v>908</v>
      </c>
      <c r="C1067" s="312" t="s">
        <v>249</v>
      </c>
      <c r="D1067" s="312" t="s">
        <v>228</v>
      </c>
      <c r="E1067" s="319" t="s">
        <v>1102</v>
      </c>
      <c r="F1067" s="312"/>
      <c r="G1067" s="317">
        <f>G1068</f>
        <v>155</v>
      </c>
      <c r="H1067" s="317">
        <f t="shared" ref="H1067:H1069" si="529">H1068</f>
        <v>155</v>
      </c>
      <c r="I1067" s="317">
        <f t="shared" si="511"/>
        <v>100</v>
      </c>
    </row>
    <row r="1068" spans="1:9" ht="15.75" x14ac:dyDescent="0.25">
      <c r="A1068" s="45" t="s">
        <v>538</v>
      </c>
      <c r="B1068" s="346">
        <v>908</v>
      </c>
      <c r="C1068" s="324" t="s">
        <v>249</v>
      </c>
      <c r="D1068" s="324" t="s">
        <v>228</v>
      </c>
      <c r="E1068" s="347" t="s">
        <v>1105</v>
      </c>
      <c r="F1068" s="324"/>
      <c r="G1068" s="321">
        <f>G1069</f>
        <v>155</v>
      </c>
      <c r="H1068" s="321">
        <f t="shared" si="529"/>
        <v>155</v>
      </c>
      <c r="I1068" s="321">
        <f t="shared" si="511"/>
        <v>100</v>
      </c>
    </row>
    <row r="1069" spans="1:9" ht="31.5" x14ac:dyDescent="0.25">
      <c r="A1069" s="31" t="s">
        <v>146</v>
      </c>
      <c r="B1069" s="346">
        <v>908</v>
      </c>
      <c r="C1069" s="324" t="s">
        <v>249</v>
      </c>
      <c r="D1069" s="324" t="s">
        <v>228</v>
      </c>
      <c r="E1069" s="347" t="s">
        <v>1105</v>
      </c>
      <c r="F1069" s="324" t="s">
        <v>147</v>
      </c>
      <c r="G1069" s="321">
        <f>G1070</f>
        <v>155</v>
      </c>
      <c r="H1069" s="321">
        <f t="shared" si="529"/>
        <v>155</v>
      </c>
      <c r="I1069" s="321">
        <f t="shared" si="511"/>
        <v>100</v>
      </c>
    </row>
    <row r="1070" spans="1:9" ht="31.5" x14ac:dyDescent="0.25">
      <c r="A1070" s="31" t="s">
        <v>148</v>
      </c>
      <c r="B1070" s="346">
        <v>908</v>
      </c>
      <c r="C1070" s="324" t="s">
        <v>249</v>
      </c>
      <c r="D1070" s="324" t="s">
        <v>228</v>
      </c>
      <c r="E1070" s="347" t="s">
        <v>1105</v>
      </c>
      <c r="F1070" s="324" t="s">
        <v>149</v>
      </c>
      <c r="G1070" s="337">
        <f>85+70+70-41.2-28.8</f>
        <v>155</v>
      </c>
      <c r="H1070" s="337">
        <v>155</v>
      </c>
      <c r="I1070" s="321">
        <f t="shared" si="511"/>
        <v>100</v>
      </c>
    </row>
    <row r="1071" spans="1:9" s="211" customFormat="1" ht="16.5" hidden="1" customHeight="1" x14ac:dyDescent="0.25">
      <c r="A1071" s="58" t="s">
        <v>1103</v>
      </c>
      <c r="B1071" s="315">
        <v>908</v>
      </c>
      <c r="C1071" s="312" t="s">
        <v>249</v>
      </c>
      <c r="D1071" s="312" t="s">
        <v>228</v>
      </c>
      <c r="E1071" s="319" t="s">
        <v>1104</v>
      </c>
      <c r="F1071" s="312"/>
      <c r="G1071" s="4">
        <f>G1072</f>
        <v>0</v>
      </c>
      <c r="H1071" s="4">
        <f t="shared" ref="H1071:H1073" si="530">H1072</f>
        <v>0</v>
      </c>
      <c r="I1071" s="321" t="e">
        <f t="shared" si="511"/>
        <v>#DIV/0!</v>
      </c>
    </row>
    <row r="1072" spans="1:9" ht="15.75" hidden="1" x14ac:dyDescent="0.25">
      <c r="A1072" s="45" t="s">
        <v>540</v>
      </c>
      <c r="B1072" s="346">
        <v>908</v>
      </c>
      <c r="C1072" s="324" t="s">
        <v>249</v>
      </c>
      <c r="D1072" s="324" t="s">
        <v>228</v>
      </c>
      <c r="E1072" s="347" t="s">
        <v>1106</v>
      </c>
      <c r="F1072" s="324"/>
      <c r="G1072" s="321">
        <f>G1073</f>
        <v>0</v>
      </c>
      <c r="H1072" s="321">
        <f t="shared" si="530"/>
        <v>0</v>
      </c>
      <c r="I1072" s="321" t="e">
        <f t="shared" si="511"/>
        <v>#DIV/0!</v>
      </c>
    </row>
    <row r="1073" spans="1:9" ht="31.5" hidden="1" x14ac:dyDescent="0.25">
      <c r="A1073" s="31" t="s">
        <v>146</v>
      </c>
      <c r="B1073" s="346">
        <v>908</v>
      </c>
      <c r="C1073" s="324" t="s">
        <v>249</v>
      </c>
      <c r="D1073" s="324" t="s">
        <v>228</v>
      </c>
      <c r="E1073" s="347" t="s">
        <v>1106</v>
      </c>
      <c r="F1073" s="324" t="s">
        <v>147</v>
      </c>
      <c r="G1073" s="321">
        <f>G1074</f>
        <v>0</v>
      </c>
      <c r="H1073" s="321">
        <f t="shared" si="530"/>
        <v>0</v>
      </c>
      <c r="I1073" s="321" t="e">
        <f t="shared" si="511"/>
        <v>#DIV/0!</v>
      </c>
    </row>
    <row r="1074" spans="1:9" ht="31.5" hidden="1" x14ac:dyDescent="0.25">
      <c r="A1074" s="31" t="s">
        <v>148</v>
      </c>
      <c r="B1074" s="346">
        <v>908</v>
      </c>
      <c r="C1074" s="324" t="s">
        <v>249</v>
      </c>
      <c r="D1074" s="324" t="s">
        <v>228</v>
      </c>
      <c r="E1074" s="347" t="s">
        <v>1106</v>
      </c>
      <c r="F1074" s="324" t="s">
        <v>149</v>
      </c>
      <c r="G1074" s="337">
        <v>0</v>
      </c>
      <c r="H1074" s="337">
        <v>0</v>
      </c>
      <c r="I1074" s="321" t="e">
        <f t="shared" si="511"/>
        <v>#DIV/0!</v>
      </c>
    </row>
    <row r="1075" spans="1:9" s="211" customFormat="1" ht="31.5" x14ac:dyDescent="0.25">
      <c r="A1075" s="58" t="s">
        <v>1107</v>
      </c>
      <c r="B1075" s="315">
        <v>908</v>
      </c>
      <c r="C1075" s="312" t="s">
        <v>249</v>
      </c>
      <c r="D1075" s="312" t="s">
        <v>228</v>
      </c>
      <c r="E1075" s="319" t="s">
        <v>1108</v>
      </c>
      <c r="F1075" s="312"/>
      <c r="G1075" s="4">
        <f>G1076</f>
        <v>44</v>
      </c>
      <c r="H1075" s="4">
        <f t="shared" ref="H1075:H1077" si="531">H1076</f>
        <v>44</v>
      </c>
      <c r="I1075" s="317">
        <f t="shared" si="511"/>
        <v>100</v>
      </c>
    </row>
    <row r="1076" spans="1:9" ht="15.75" x14ac:dyDescent="0.25">
      <c r="A1076" s="45" t="s">
        <v>542</v>
      </c>
      <c r="B1076" s="346">
        <v>908</v>
      </c>
      <c r="C1076" s="324" t="s">
        <v>249</v>
      </c>
      <c r="D1076" s="324" t="s">
        <v>228</v>
      </c>
      <c r="E1076" s="347" t="s">
        <v>1109</v>
      </c>
      <c r="F1076" s="324"/>
      <c r="G1076" s="321">
        <f>G1077</f>
        <v>44</v>
      </c>
      <c r="H1076" s="321">
        <f t="shared" si="531"/>
        <v>44</v>
      </c>
      <c r="I1076" s="321">
        <f t="shared" si="511"/>
        <v>100</v>
      </c>
    </row>
    <row r="1077" spans="1:9" ht="31.5" x14ac:dyDescent="0.25">
      <c r="A1077" s="31" t="s">
        <v>146</v>
      </c>
      <c r="B1077" s="346">
        <v>908</v>
      </c>
      <c r="C1077" s="324" t="s">
        <v>249</v>
      </c>
      <c r="D1077" s="324" t="s">
        <v>228</v>
      </c>
      <c r="E1077" s="347" t="s">
        <v>1109</v>
      </c>
      <c r="F1077" s="324" t="s">
        <v>147</v>
      </c>
      <c r="G1077" s="321">
        <f>G1078</f>
        <v>44</v>
      </c>
      <c r="H1077" s="321">
        <f t="shared" si="531"/>
        <v>44</v>
      </c>
      <c r="I1077" s="321">
        <f t="shared" si="511"/>
        <v>100</v>
      </c>
    </row>
    <row r="1078" spans="1:9" ht="31.5" x14ac:dyDescent="0.25">
      <c r="A1078" s="31" t="s">
        <v>148</v>
      </c>
      <c r="B1078" s="346">
        <v>908</v>
      </c>
      <c r="C1078" s="324" t="s">
        <v>249</v>
      </c>
      <c r="D1078" s="324" t="s">
        <v>228</v>
      </c>
      <c r="E1078" s="347" t="s">
        <v>1109</v>
      </c>
      <c r="F1078" s="324" t="s">
        <v>149</v>
      </c>
      <c r="G1078" s="337">
        <v>44</v>
      </c>
      <c r="H1078" s="337">
        <v>44</v>
      </c>
      <c r="I1078" s="321">
        <f t="shared" si="511"/>
        <v>100</v>
      </c>
    </row>
    <row r="1079" spans="1:9" s="211" customFormat="1" ht="31.7" hidden="1" customHeight="1" x14ac:dyDescent="0.25">
      <c r="A1079" s="34" t="s">
        <v>1170</v>
      </c>
      <c r="B1079" s="315">
        <v>908</v>
      </c>
      <c r="C1079" s="312" t="s">
        <v>249</v>
      </c>
      <c r="D1079" s="312" t="s">
        <v>228</v>
      </c>
      <c r="E1079" s="319" t="s">
        <v>1171</v>
      </c>
      <c r="F1079" s="312"/>
      <c r="G1079" s="4">
        <f>G1080</f>
        <v>0</v>
      </c>
      <c r="H1079" s="4">
        <f t="shared" ref="H1079:H1081" si="532">H1080</f>
        <v>0</v>
      </c>
      <c r="I1079" s="321" t="e">
        <f t="shared" si="511"/>
        <v>#DIV/0!</v>
      </c>
    </row>
    <row r="1080" spans="1:9" ht="15.75" hidden="1" x14ac:dyDescent="0.25">
      <c r="A1080" s="45" t="s">
        <v>544</v>
      </c>
      <c r="B1080" s="346">
        <v>908</v>
      </c>
      <c r="C1080" s="324" t="s">
        <v>249</v>
      </c>
      <c r="D1080" s="324" t="s">
        <v>228</v>
      </c>
      <c r="E1080" s="347" t="s">
        <v>1174</v>
      </c>
      <c r="F1080" s="324"/>
      <c r="G1080" s="321">
        <f>G1081</f>
        <v>0</v>
      </c>
      <c r="H1080" s="321">
        <f t="shared" si="532"/>
        <v>0</v>
      </c>
      <c r="I1080" s="321" t="e">
        <f t="shared" si="511"/>
        <v>#DIV/0!</v>
      </c>
    </row>
    <row r="1081" spans="1:9" ht="31.5" hidden="1" x14ac:dyDescent="0.25">
      <c r="A1081" s="31" t="s">
        <v>146</v>
      </c>
      <c r="B1081" s="346">
        <v>908</v>
      </c>
      <c r="C1081" s="324" t="s">
        <v>249</v>
      </c>
      <c r="D1081" s="324" t="s">
        <v>228</v>
      </c>
      <c r="E1081" s="347" t="s">
        <v>1174</v>
      </c>
      <c r="F1081" s="324" t="s">
        <v>147</v>
      </c>
      <c r="G1081" s="321">
        <f>G1082</f>
        <v>0</v>
      </c>
      <c r="H1081" s="321">
        <f t="shared" si="532"/>
        <v>0</v>
      </c>
      <c r="I1081" s="321" t="e">
        <f t="shared" si="511"/>
        <v>#DIV/0!</v>
      </c>
    </row>
    <row r="1082" spans="1:9" ht="31.5" hidden="1" x14ac:dyDescent="0.25">
      <c r="A1082" s="31" t="s">
        <v>148</v>
      </c>
      <c r="B1082" s="346">
        <v>908</v>
      </c>
      <c r="C1082" s="324" t="s">
        <v>249</v>
      </c>
      <c r="D1082" s="324" t="s">
        <v>228</v>
      </c>
      <c r="E1082" s="347" t="s">
        <v>1174</v>
      </c>
      <c r="F1082" s="324" t="s">
        <v>149</v>
      </c>
      <c r="G1082" s="321">
        <v>0</v>
      </c>
      <c r="H1082" s="321">
        <v>0</v>
      </c>
      <c r="I1082" s="321" t="e">
        <f t="shared" si="511"/>
        <v>#DIV/0!</v>
      </c>
    </row>
    <row r="1083" spans="1:9" s="211" customFormat="1" ht="31.5" hidden="1" x14ac:dyDescent="0.25">
      <c r="A1083" s="225" t="s">
        <v>1172</v>
      </c>
      <c r="B1083" s="315">
        <v>908</v>
      </c>
      <c r="C1083" s="312" t="s">
        <v>249</v>
      </c>
      <c r="D1083" s="312" t="s">
        <v>228</v>
      </c>
      <c r="E1083" s="319" t="s">
        <v>1173</v>
      </c>
      <c r="F1083" s="312"/>
      <c r="G1083" s="317">
        <f>G1084</f>
        <v>0</v>
      </c>
      <c r="H1083" s="317">
        <f t="shared" ref="H1083:H1085" si="533">H1084</f>
        <v>0</v>
      </c>
      <c r="I1083" s="321" t="e">
        <f t="shared" si="511"/>
        <v>#DIV/0!</v>
      </c>
    </row>
    <row r="1084" spans="1:9" ht="21.75" hidden="1" customHeight="1" x14ac:dyDescent="0.25">
      <c r="A1084" s="178" t="s">
        <v>546</v>
      </c>
      <c r="B1084" s="346">
        <v>908</v>
      </c>
      <c r="C1084" s="324" t="s">
        <v>249</v>
      </c>
      <c r="D1084" s="324" t="s">
        <v>228</v>
      </c>
      <c r="E1084" s="347" t="s">
        <v>1175</v>
      </c>
      <c r="F1084" s="324"/>
      <c r="G1084" s="321">
        <f>G1085</f>
        <v>0</v>
      </c>
      <c r="H1084" s="321">
        <f t="shared" si="533"/>
        <v>0</v>
      </c>
      <c r="I1084" s="321" t="e">
        <f t="shared" si="511"/>
        <v>#DIV/0!</v>
      </c>
    </row>
    <row r="1085" spans="1:9" ht="31.7" hidden="1" customHeight="1" x14ac:dyDescent="0.25">
      <c r="A1085" s="31" t="s">
        <v>146</v>
      </c>
      <c r="B1085" s="346">
        <v>908</v>
      </c>
      <c r="C1085" s="324" t="s">
        <v>249</v>
      </c>
      <c r="D1085" s="324" t="s">
        <v>228</v>
      </c>
      <c r="E1085" s="347" t="s">
        <v>1175</v>
      </c>
      <c r="F1085" s="324" t="s">
        <v>147</v>
      </c>
      <c r="G1085" s="321">
        <f>G1086</f>
        <v>0</v>
      </c>
      <c r="H1085" s="321">
        <f t="shared" si="533"/>
        <v>0</v>
      </c>
      <c r="I1085" s="321" t="e">
        <f t="shared" si="511"/>
        <v>#DIV/0!</v>
      </c>
    </row>
    <row r="1086" spans="1:9" ht="36" hidden="1" customHeight="1" x14ac:dyDescent="0.25">
      <c r="A1086" s="31" t="s">
        <v>148</v>
      </c>
      <c r="B1086" s="346">
        <v>908</v>
      </c>
      <c r="C1086" s="324" t="s">
        <v>249</v>
      </c>
      <c r="D1086" s="324" t="s">
        <v>228</v>
      </c>
      <c r="E1086" s="347" t="s">
        <v>1175</v>
      </c>
      <c r="F1086" s="324" t="s">
        <v>149</v>
      </c>
      <c r="G1086" s="321">
        <v>0</v>
      </c>
      <c r="H1086" s="321">
        <v>0</v>
      </c>
      <c r="I1086" s="321" t="e">
        <f t="shared" si="511"/>
        <v>#DIV/0!</v>
      </c>
    </row>
    <row r="1087" spans="1:9" s="211" customFormat="1" ht="31.7" hidden="1" customHeight="1" x14ac:dyDescent="0.25">
      <c r="A1087" s="225" t="s">
        <v>1111</v>
      </c>
      <c r="B1087" s="315">
        <v>908</v>
      </c>
      <c r="C1087" s="312" t="s">
        <v>249</v>
      </c>
      <c r="D1087" s="312" t="s">
        <v>228</v>
      </c>
      <c r="E1087" s="319" t="s">
        <v>1112</v>
      </c>
      <c r="F1087" s="312"/>
      <c r="G1087" s="317">
        <f>G1088</f>
        <v>0</v>
      </c>
      <c r="H1087" s="317">
        <f t="shared" ref="H1087:H1089" si="534">H1088</f>
        <v>0</v>
      </c>
      <c r="I1087" s="321" t="e">
        <f t="shared" si="511"/>
        <v>#DIV/0!</v>
      </c>
    </row>
    <row r="1088" spans="1:9" ht="15.75" hidden="1" x14ac:dyDescent="0.25">
      <c r="A1088" s="178" t="s">
        <v>548</v>
      </c>
      <c r="B1088" s="346">
        <v>908</v>
      </c>
      <c r="C1088" s="324" t="s">
        <v>249</v>
      </c>
      <c r="D1088" s="324" t="s">
        <v>228</v>
      </c>
      <c r="E1088" s="347" t="s">
        <v>1110</v>
      </c>
      <c r="F1088" s="324"/>
      <c r="G1088" s="321">
        <f>G1089</f>
        <v>0</v>
      </c>
      <c r="H1088" s="321">
        <f t="shared" si="534"/>
        <v>0</v>
      </c>
      <c r="I1088" s="321" t="e">
        <f t="shared" si="511"/>
        <v>#DIV/0!</v>
      </c>
    </row>
    <row r="1089" spans="1:9" ht="31.5" hidden="1" x14ac:dyDescent="0.25">
      <c r="A1089" s="349" t="s">
        <v>146</v>
      </c>
      <c r="B1089" s="346">
        <v>908</v>
      </c>
      <c r="C1089" s="324" t="s">
        <v>249</v>
      </c>
      <c r="D1089" s="324" t="s">
        <v>228</v>
      </c>
      <c r="E1089" s="347" t="s">
        <v>1110</v>
      </c>
      <c r="F1089" s="324" t="s">
        <v>147</v>
      </c>
      <c r="G1089" s="321">
        <f>G1090</f>
        <v>0</v>
      </c>
      <c r="H1089" s="321">
        <f t="shared" si="534"/>
        <v>0</v>
      </c>
      <c r="I1089" s="321" t="e">
        <f t="shared" si="511"/>
        <v>#DIV/0!</v>
      </c>
    </row>
    <row r="1090" spans="1:9" ht="31.5" hidden="1" x14ac:dyDescent="0.25">
      <c r="A1090" s="349" t="s">
        <v>148</v>
      </c>
      <c r="B1090" s="346">
        <v>908</v>
      </c>
      <c r="C1090" s="324" t="s">
        <v>249</v>
      </c>
      <c r="D1090" s="324" t="s">
        <v>228</v>
      </c>
      <c r="E1090" s="347" t="s">
        <v>1110</v>
      </c>
      <c r="F1090" s="324" t="s">
        <v>149</v>
      </c>
      <c r="G1090" s="321">
        <v>0</v>
      </c>
      <c r="H1090" s="321">
        <v>0</v>
      </c>
      <c r="I1090" s="321" t="e">
        <f t="shared" si="511"/>
        <v>#DIV/0!</v>
      </c>
    </row>
    <row r="1091" spans="1:9" s="211" customFormat="1" ht="31.5" hidden="1" x14ac:dyDescent="0.25">
      <c r="A1091" s="318" t="s">
        <v>1355</v>
      </c>
      <c r="B1091" s="315">
        <v>908</v>
      </c>
      <c r="C1091" s="312" t="s">
        <v>249</v>
      </c>
      <c r="D1091" s="312" t="s">
        <v>228</v>
      </c>
      <c r="E1091" s="319" t="s">
        <v>1354</v>
      </c>
      <c r="F1091" s="312"/>
      <c r="G1091" s="317">
        <f>G1092</f>
        <v>0</v>
      </c>
      <c r="H1091" s="317">
        <f t="shared" ref="H1091:H1094" si="535">H1092</f>
        <v>0</v>
      </c>
      <c r="I1091" s="321" t="e">
        <f t="shared" si="511"/>
        <v>#DIV/0!</v>
      </c>
    </row>
    <row r="1092" spans="1:9" s="211" customFormat="1" ht="31.5" hidden="1" x14ac:dyDescent="0.25">
      <c r="A1092" s="318" t="s">
        <v>1356</v>
      </c>
      <c r="B1092" s="315">
        <v>908</v>
      </c>
      <c r="C1092" s="312" t="s">
        <v>249</v>
      </c>
      <c r="D1092" s="312" t="s">
        <v>228</v>
      </c>
      <c r="E1092" s="319" t="s">
        <v>1357</v>
      </c>
      <c r="F1092" s="312"/>
      <c r="G1092" s="317">
        <f>G1093</f>
        <v>0</v>
      </c>
      <c r="H1092" s="317">
        <f t="shared" si="535"/>
        <v>0</v>
      </c>
      <c r="I1092" s="321" t="e">
        <f t="shared" si="511"/>
        <v>#DIV/0!</v>
      </c>
    </row>
    <row r="1093" spans="1:9" s="211" customFormat="1" ht="15.75" hidden="1" x14ac:dyDescent="0.25">
      <c r="A1093" s="349" t="s">
        <v>552</v>
      </c>
      <c r="B1093" s="346">
        <v>908</v>
      </c>
      <c r="C1093" s="324" t="s">
        <v>249</v>
      </c>
      <c r="D1093" s="324" t="s">
        <v>228</v>
      </c>
      <c r="E1093" s="347" t="s">
        <v>1358</v>
      </c>
      <c r="F1093" s="324"/>
      <c r="G1093" s="321">
        <f>G1094</f>
        <v>0</v>
      </c>
      <c r="H1093" s="321">
        <f t="shared" si="535"/>
        <v>0</v>
      </c>
      <c r="I1093" s="321" t="e">
        <f t="shared" si="511"/>
        <v>#DIV/0!</v>
      </c>
    </row>
    <row r="1094" spans="1:9" s="211" customFormat="1" ht="31.5" hidden="1" x14ac:dyDescent="0.25">
      <c r="A1094" s="349" t="s">
        <v>146</v>
      </c>
      <c r="B1094" s="346">
        <v>908</v>
      </c>
      <c r="C1094" s="324" t="s">
        <v>249</v>
      </c>
      <c r="D1094" s="324" t="s">
        <v>228</v>
      </c>
      <c r="E1094" s="347" t="s">
        <v>1358</v>
      </c>
      <c r="F1094" s="324" t="s">
        <v>147</v>
      </c>
      <c r="G1094" s="321">
        <f>G1095</f>
        <v>0</v>
      </c>
      <c r="H1094" s="321">
        <f t="shared" si="535"/>
        <v>0</v>
      </c>
      <c r="I1094" s="321" t="e">
        <f t="shared" si="511"/>
        <v>#DIV/0!</v>
      </c>
    </row>
    <row r="1095" spans="1:9" s="211" customFormat="1" ht="31.5" hidden="1" x14ac:dyDescent="0.25">
      <c r="A1095" s="349" t="s">
        <v>148</v>
      </c>
      <c r="B1095" s="346">
        <v>908</v>
      </c>
      <c r="C1095" s="324" t="s">
        <v>249</v>
      </c>
      <c r="D1095" s="324" t="s">
        <v>228</v>
      </c>
      <c r="E1095" s="347" t="s">
        <v>1358</v>
      </c>
      <c r="F1095" s="324" t="s">
        <v>149</v>
      </c>
      <c r="G1095" s="321">
        <f>120-120</f>
        <v>0</v>
      </c>
      <c r="H1095" s="321">
        <f t="shared" ref="H1095" si="536">120-120</f>
        <v>0</v>
      </c>
      <c r="I1095" s="321" t="e">
        <f t="shared" si="511"/>
        <v>#DIV/0!</v>
      </c>
    </row>
    <row r="1096" spans="1:9" ht="15.75" x14ac:dyDescent="0.25">
      <c r="A1096" s="318" t="s">
        <v>556</v>
      </c>
      <c r="B1096" s="315">
        <v>908</v>
      </c>
      <c r="C1096" s="319" t="s">
        <v>249</v>
      </c>
      <c r="D1096" s="319" t="s">
        <v>230</v>
      </c>
      <c r="E1096" s="319"/>
      <c r="F1096" s="319"/>
      <c r="G1096" s="317">
        <f>G1097+G1104+G1142</f>
        <v>4821.6000000000004</v>
      </c>
      <c r="H1096" s="317">
        <f t="shared" ref="H1096" si="537">H1097+H1104+H1142</f>
        <v>4114.4809999999998</v>
      </c>
      <c r="I1096" s="317">
        <f t="shared" si="511"/>
        <v>85.334349593495929</v>
      </c>
    </row>
    <row r="1097" spans="1:9" s="211" customFormat="1" ht="15.75" x14ac:dyDescent="0.25">
      <c r="A1097" s="318" t="s">
        <v>156</v>
      </c>
      <c r="B1097" s="315">
        <v>908</v>
      </c>
      <c r="C1097" s="319" t="s">
        <v>249</v>
      </c>
      <c r="D1097" s="319" t="s">
        <v>230</v>
      </c>
      <c r="E1097" s="319" t="s">
        <v>910</v>
      </c>
      <c r="F1097" s="319"/>
      <c r="G1097" s="317">
        <f>G1098</f>
        <v>416</v>
      </c>
      <c r="H1097" s="317">
        <f t="shared" ref="H1097" si="538">H1098</f>
        <v>415.483</v>
      </c>
      <c r="I1097" s="317">
        <f t="shared" ref="I1097:I1160" si="539">H1097/G1097*100</f>
        <v>99.875721153846158</v>
      </c>
    </row>
    <row r="1098" spans="1:9" s="211" customFormat="1" ht="31.5" x14ac:dyDescent="0.25">
      <c r="A1098" s="318" t="s">
        <v>914</v>
      </c>
      <c r="B1098" s="315">
        <v>908</v>
      </c>
      <c r="C1098" s="319" t="s">
        <v>249</v>
      </c>
      <c r="D1098" s="319" t="s">
        <v>230</v>
      </c>
      <c r="E1098" s="319" t="s">
        <v>909</v>
      </c>
      <c r="F1098" s="319"/>
      <c r="G1098" s="317">
        <f>G1099+G1102</f>
        <v>416</v>
      </c>
      <c r="H1098" s="317">
        <f t="shared" ref="H1098" si="540">H1099+H1102</f>
        <v>415.483</v>
      </c>
      <c r="I1098" s="317">
        <f t="shared" si="539"/>
        <v>99.875721153846158</v>
      </c>
    </row>
    <row r="1099" spans="1:9" s="211" customFormat="1" ht="15.75" x14ac:dyDescent="0.25">
      <c r="A1099" s="349" t="s">
        <v>579</v>
      </c>
      <c r="B1099" s="346">
        <v>908</v>
      </c>
      <c r="C1099" s="347" t="s">
        <v>249</v>
      </c>
      <c r="D1099" s="347" t="s">
        <v>230</v>
      </c>
      <c r="E1099" s="347" t="s">
        <v>1259</v>
      </c>
      <c r="F1099" s="347"/>
      <c r="G1099" s="321">
        <f>G1100</f>
        <v>386</v>
      </c>
      <c r="H1099" s="321">
        <f t="shared" ref="H1099:H1100" si="541">H1100</f>
        <v>385.483</v>
      </c>
      <c r="I1099" s="321">
        <f t="shared" si="539"/>
        <v>99.866062176165798</v>
      </c>
    </row>
    <row r="1100" spans="1:9" s="211" customFormat="1" ht="31.5" x14ac:dyDescent="0.25">
      <c r="A1100" s="349" t="s">
        <v>146</v>
      </c>
      <c r="B1100" s="346">
        <v>908</v>
      </c>
      <c r="C1100" s="347" t="s">
        <v>249</v>
      </c>
      <c r="D1100" s="347" t="s">
        <v>230</v>
      </c>
      <c r="E1100" s="347" t="s">
        <v>1259</v>
      </c>
      <c r="F1100" s="347" t="s">
        <v>147</v>
      </c>
      <c r="G1100" s="321">
        <f>G1101</f>
        <v>386</v>
      </c>
      <c r="H1100" s="321">
        <f t="shared" si="541"/>
        <v>385.483</v>
      </c>
      <c r="I1100" s="321">
        <f t="shared" si="539"/>
        <v>99.866062176165798</v>
      </c>
    </row>
    <row r="1101" spans="1:9" s="211" customFormat="1" ht="31.5" x14ac:dyDescent="0.25">
      <c r="A1101" s="349" t="s">
        <v>148</v>
      </c>
      <c r="B1101" s="346">
        <v>908</v>
      </c>
      <c r="C1101" s="347" t="s">
        <v>249</v>
      </c>
      <c r="D1101" s="347" t="s">
        <v>230</v>
      </c>
      <c r="E1101" s="347" t="s">
        <v>1259</v>
      </c>
      <c r="F1101" s="347" t="s">
        <v>149</v>
      </c>
      <c r="G1101" s="339">
        <f>390-4</f>
        <v>386</v>
      </c>
      <c r="H1101" s="339">
        <v>385.483</v>
      </c>
      <c r="I1101" s="321">
        <f t="shared" si="539"/>
        <v>99.866062176165798</v>
      </c>
    </row>
    <row r="1102" spans="1:9" s="310" customFormat="1" ht="15.75" x14ac:dyDescent="0.25">
      <c r="A1102" s="349" t="s">
        <v>150</v>
      </c>
      <c r="B1102" s="346">
        <v>908</v>
      </c>
      <c r="C1102" s="347" t="s">
        <v>249</v>
      </c>
      <c r="D1102" s="347" t="s">
        <v>230</v>
      </c>
      <c r="E1102" s="347" t="s">
        <v>1259</v>
      </c>
      <c r="F1102" s="347" t="s">
        <v>160</v>
      </c>
      <c r="G1102" s="339">
        <f>G1103</f>
        <v>30</v>
      </c>
      <c r="H1102" s="339">
        <f t="shared" ref="H1102" si="542">H1103</f>
        <v>30</v>
      </c>
      <c r="I1102" s="321">
        <f t="shared" si="539"/>
        <v>100</v>
      </c>
    </row>
    <row r="1103" spans="1:9" s="310" customFormat="1" ht="15.75" x14ac:dyDescent="0.25">
      <c r="A1103" s="349" t="s">
        <v>725</v>
      </c>
      <c r="B1103" s="346">
        <v>908</v>
      </c>
      <c r="C1103" s="347" t="s">
        <v>249</v>
      </c>
      <c r="D1103" s="347" t="s">
        <v>230</v>
      </c>
      <c r="E1103" s="347" t="s">
        <v>1259</v>
      </c>
      <c r="F1103" s="347" t="s">
        <v>153</v>
      </c>
      <c r="G1103" s="339">
        <v>30</v>
      </c>
      <c r="H1103" s="339">
        <v>30</v>
      </c>
      <c r="I1103" s="321">
        <f t="shared" si="539"/>
        <v>100</v>
      </c>
    </row>
    <row r="1104" spans="1:9" ht="43.5" customHeight="1" x14ac:dyDescent="0.25">
      <c r="A1104" s="318" t="s">
        <v>557</v>
      </c>
      <c r="B1104" s="315">
        <v>908</v>
      </c>
      <c r="C1104" s="319" t="s">
        <v>249</v>
      </c>
      <c r="D1104" s="319" t="s">
        <v>230</v>
      </c>
      <c r="E1104" s="319" t="s">
        <v>558</v>
      </c>
      <c r="F1104" s="319"/>
      <c r="G1104" s="317">
        <f>G1105+G1119</f>
        <v>4405.6000000000004</v>
      </c>
      <c r="H1104" s="317">
        <f t="shared" ref="H1104" si="543">H1105+H1119</f>
        <v>3698.998</v>
      </c>
      <c r="I1104" s="317">
        <f t="shared" si="539"/>
        <v>83.96127655710913</v>
      </c>
    </row>
    <row r="1105" spans="1:9" ht="48.2" customHeight="1" x14ac:dyDescent="0.25">
      <c r="A1105" s="318" t="s">
        <v>559</v>
      </c>
      <c r="B1105" s="315">
        <v>908</v>
      </c>
      <c r="C1105" s="319" t="s">
        <v>249</v>
      </c>
      <c r="D1105" s="319" t="s">
        <v>230</v>
      </c>
      <c r="E1105" s="319" t="s">
        <v>560</v>
      </c>
      <c r="F1105" s="319"/>
      <c r="G1105" s="317">
        <f>G1106</f>
        <v>1960.9</v>
      </c>
      <c r="H1105" s="317">
        <f t="shared" ref="H1105" si="544">H1106</f>
        <v>1960.616</v>
      </c>
      <c r="I1105" s="317">
        <f t="shared" si="539"/>
        <v>99.985516854505576</v>
      </c>
    </row>
    <row r="1106" spans="1:9" s="211" customFormat="1" ht="35.450000000000003" customHeight="1" x14ac:dyDescent="0.25">
      <c r="A1106" s="318" t="s">
        <v>1120</v>
      </c>
      <c r="B1106" s="315">
        <v>908</v>
      </c>
      <c r="C1106" s="319" t="s">
        <v>249</v>
      </c>
      <c r="D1106" s="319" t="s">
        <v>230</v>
      </c>
      <c r="E1106" s="319" t="s">
        <v>1118</v>
      </c>
      <c r="F1106" s="319"/>
      <c r="G1106" s="317">
        <f>G1107+G1110+G1116</f>
        <v>1960.9</v>
      </c>
      <c r="H1106" s="317">
        <f t="shared" ref="H1106" si="545">H1107+H1110+H1116</f>
        <v>1960.616</v>
      </c>
      <c r="I1106" s="317">
        <f t="shared" si="539"/>
        <v>99.985516854505576</v>
      </c>
    </row>
    <row r="1107" spans="1:9" ht="19.5" customHeight="1" x14ac:dyDescent="0.25">
      <c r="A1107" s="349" t="s">
        <v>561</v>
      </c>
      <c r="B1107" s="346">
        <v>908</v>
      </c>
      <c r="C1107" s="347" t="s">
        <v>249</v>
      </c>
      <c r="D1107" s="347" t="s">
        <v>230</v>
      </c>
      <c r="E1107" s="347" t="s">
        <v>1119</v>
      </c>
      <c r="F1107" s="347"/>
      <c r="G1107" s="321">
        <f>G1108</f>
        <v>740.59999999999991</v>
      </c>
      <c r="H1107" s="321">
        <f t="shared" ref="H1107:H1108" si="546">H1108</f>
        <v>740.42700000000002</v>
      </c>
      <c r="I1107" s="321">
        <f t="shared" si="539"/>
        <v>99.976640561706745</v>
      </c>
    </row>
    <row r="1108" spans="1:9" ht="31.5" x14ac:dyDescent="0.25">
      <c r="A1108" s="349" t="s">
        <v>146</v>
      </c>
      <c r="B1108" s="346">
        <v>908</v>
      </c>
      <c r="C1108" s="347" t="s">
        <v>249</v>
      </c>
      <c r="D1108" s="347" t="s">
        <v>230</v>
      </c>
      <c r="E1108" s="347" t="s">
        <v>1119</v>
      </c>
      <c r="F1108" s="347" t="s">
        <v>147</v>
      </c>
      <c r="G1108" s="321">
        <f>G1109</f>
        <v>740.59999999999991</v>
      </c>
      <c r="H1108" s="321">
        <f t="shared" si="546"/>
        <v>740.42700000000002</v>
      </c>
      <c r="I1108" s="321">
        <f t="shared" si="539"/>
        <v>99.976640561706745</v>
      </c>
    </row>
    <row r="1109" spans="1:9" ht="31.5" x14ac:dyDescent="0.25">
      <c r="A1109" s="349" t="s">
        <v>148</v>
      </c>
      <c r="B1109" s="346">
        <v>908</v>
      </c>
      <c r="C1109" s="347" t="s">
        <v>249</v>
      </c>
      <c r="D1109" s="347" t="s">
        <v>230</v>
      </c>
      <c r="E1109" s="347" t="s">
        <v>1119</v>
      </c>
      <c r="F1109" s="347" t="s">
        <v>149</v>
      </c>
      <c r="G1109" s="321">
        <f>90+401+189.8+189.8-39-196+80+25</f>
        <v>740.59999999999991</v>
      </c>
      <c r="H1109" s="321">
        <v>740.42700000000002</v>
      </c>
      <c r="I1109" s="321">
        <f t="shared" si="539"/>
        <v>99.976640561706745</v>
      </c>
    </row>
    <row r="1110" spans="1:9" ht="15.75" x14ac:dyDescent="0.25">
      <c r="A1110" s="349" t="s">
        <v>1282</v>
      </c>
      <c r="B1110" s="346">
        <v>908</v>
      </c>
      <c r="C1110" s="347" t="s">
        <v>249</v>
      </c>
      <c r="D1110" s="347" t="s">
        <v>230</v>
      </c>
      <c r="E1110" s="347" t="s">
        <v>1121</v>
      </c>
      <c r="F1110" s="347"/>
      <c r="G1110" s="321">
        <f>G1111+G1113</f>
        <v>1220.3000000000002</v>
      </c>
      <c r="H1110" s="321">
        <f t="shared" ref="H1110" si="547">H1111+H1113</f>
        <v>1220.1890000000001</v>
      </c>
      <c r="I1110" s="321">
        <f t="shared" si="539"/>
        <v>99.990903876096041</v>
      </c>
    </row>
    <row r="1111" spans="1:9" ht="31.5" x14ac:dyDescent="0.25">
      <c r="A1111" s="349" t="s">
        <v>146</v>
      </c>
      <c r="B1111" s="346">
        <v>908</v>
      </c>
      <c r="C1111" s="347" t="s">
        <v>249</v>
      </c>
      <c r="D1111" s="347" t="s">
        <v>230</v>
      </c>
      <c r="E1111" s="347" t="s">
        <v>1121</v>
      </c>
      <c r="F1111" s="347" t="s">
        <v>147</v>
      </c>
      <c r="G1111" s="321">
        <f>G1112</f>
        <v>1220.3000000000002</v>
      </c>
      <c r="H1111" s="321">
        <f t="shared" ref="H1111" si="548">H1112</f>
        <v>1220.1890000000001</v>
      </c>
      <c r="I1111" s="321">
        <f t="shared" si="539"/>
        <v>99.990903876096041</v>
      </c>
    </row>
    <row r="1112" spans="1:9" ht="31.5" x14ac:dyDescent="0.25">
      <c r="A1112" s="349" t="s">
        <v>148</v>
      </c>
      <c r="B1112" s="346">
        <v>908</v>
      </c>
      <c r="C1112" s="347" t="s">
        <v>249</v>
      </c>
      <c r="D1112" s="347" t="s">
        <v>230</v>
      </c>
      <c r="E1112" s="347" t="s">
        <v>1121</v>
      </c>
      <c r="F1112" s="347" t="s">
        <v>149</v>
      </c>
      <c r="G1112" s="321">
        <f>650+7.8+379.6+197.4-14.5</f>
        <v>1220.3000000000002</v>
      </c>
      <c r="H1112" s="321">
        <v>1220.1890000000001</v>
      </c>
      <c r="I1112" s="321">
        <f t="shared" si="539"/>
        <v>99.990903876096041</v>
      </c>
    </row>
    <row r="1113" spans="1:9" ht="15.75" hidden="1" x14ac:dyDescent="0.25">
      <c r="A1113" s="349" t="s">
        <v>150</v>
      </c>
      <c r="B1113" s="346">
        <v>908</v>
      </c>
      <c r="C1113" s="347" t="s">
        <v>249</v>
      </c>
      <c r="D1113" s="347" t="s">
        <v>230</v>
      </c>
      <c r="E1113" s="347" t="s">
        <v>1121</v>
      </c>
      <c r="F1113" s="347" t="s">
        <v>160</v>
      </c>
      <c r="G1113" s="321">
        <f>G1115+G1114</f>
        <v>0</v>
      </c>
      <c r="H1113" s="321">
        <f t="shared" ref="H1113" si="549">H1115+H1114</f>
        <v>0</v>
      </c>
      <c r="I1113" s="321" t="e">
        <f t="shared" si="539"/>
        <v>#DIV/0!</v>
      </c>
    </row>
    <row r="1114" spans="1:9" s="211" customFormat="1" ht="32.25" hidden="1" customHeight="1" x14ac:dyDescent="0.25">
      <c r="A1114" s="349" t="s">
        <v>880</v>
      </c>
      <c r="B1114" s="346">
        <v>908</v>
      </c>
      <c r="C1114" s="347" t="s">
        <v>249</v>
      </c>
      <c r="D1114" s="347" t="s">
        <v>230</v>
      </c>
      <c r="E1114" s="347" t="s">
        <v>1121</v>
      </c>
      <c r="F1114" s="347" t="s">
        <v>162</v>
      </c>
      <c r="G1114" s="321">
        <v>0</v>
      </c>
      <c r="H1114" s="321">
        <v>0</v>
      </c>
      <c r="I1114" s="321" t="e">
        <f t="shared" si="539"/>
        <v>#DIV/0!</v>
      </c>
    </row>
    <row r="1115" spans="1:9" ht="15.75" hidden="1" x14ac:dyDescent="0.25">
      <c r="A1115" s="349" t="s">
        <v>725</v>
      </c>
      <c r="B1115" s="346">
        <v>908</v>
      </c>
      <c r="C1115" s="347" t="s">
        <v>249</v>
      </c>
      <c r="D1115" s="347" t="s">
        <v>230</v>
      </c>
      <c r="E1115" s="347" t="s">
        <v>1121</v>
      </c>
      <c r="F1115" s="347" t="s">
        <v>153</v>
      </c>
      <c r="G1115" s="321">
        <f>3.4+37.5-40.9</f>
        <v>0</v>
      </c>
      <c r="H1115" s="321">
        <f t="shared" ref="H1115" si="550">3.4+37.5-40.9</f>
        <v>0</v>
      </c>
      <c r="I1115" s="321" t="e">
        <f t="shared" si="539"/>
        <v>#DIV/0!</v>
      </c>
    </row>
    <row r="1116" spans="1:9" ht="15.75" hidden="1" x14ac:dyDescent="0.25">
      <c r="A1116" s="349" t="s">
        <v>565</v>
      </c>
      <c r="B1116" s="346">
        <v>908</v>
      </c>
      <c r="C1116" s="347" t="s">
        <v>249</v>
      </c>
      <c r="D1116" s="347" t="s">
        <v>230</v>
      </c>
      <c r="E1116" s="347" t="s">
        <v>1122</v>
      </c>
      <c r="F1116" s="347"/>
      <c r="G1116" s="321">
        <f>G1117</f>
        <v>0</v>
      </c>
      <c r="H1116" s="321">
        <f t="shared" ref="H1116:H1117" si="551">H1117</f>
        <v>0</v>
      </c>
      <c r="I1116" s="321" t="e">
        <f t="shared" si="539"/>
        <v>#DIV/0!</v>
      </c>
    </row>
    <row r="1117" spans="1:9" ht="31.5" hidden="1" x14ac:dyDescent="0.25">
      <c r="A1117" s="349" t="s">
        <v>146</v>
      </c>
      <c r="B1117" s="346">
        <v>908</v>
      </c>
      <c r="C1117" s="347" t="s">
        <v>249</v>
      </c>
      <c r="D1117" s="347" t="s">
        <v>230</v>
      </c>
      <c r="E1117" s="347" t="s">
        <v>1122</v>
      </c>
      <c r="F1117" s="347" t="s">
        <v>147</v>
      </c>
      <c r="G1117" s="321">
        <f>G1118</f>
        <v>0</v>
      </c>
      <c r="H1117" s="321">
        <f t="shared" si="551"/>
        <v>0</v>
      </c>
      <c r="I1117" s="321" t="e">
        <f t="shared" si="539"/>
        <v>#DIV/0!</v>
      </c>
    </row>
    <row r="1118" spans="1:9" ht="31.5" hidden="1" x14ac:dyDescent="0.25">
      <c r="A1118" s="349" t="s">
        <v>148</v>
      </c>
      <c r="B1118" s="346">
        <v>908</v>
      </c>
      <c r="C1118" s="347" t="s">
        <v>249</v>
      </c>
      <c r="D1118" s="347" t="s">
        <v>230</v>
      </c>
      <c r="E1118" s="347" t="s">
        <v>1122</v>
      </c>
      <c r="F1118" s="347" t="s">
        <v>149</v>
      </c>
      <c r="G1118" s="321">
        <f>200-184-16</f>
        <v>0</v>
      </c>
      <c r="H1118" s="321">
        <f t="shared" ref="H1118" si="552">200-184-16</f>
        <v>0</v>
      </c>
      <c r="I1118" s="321" t="e">
        <f t="shared" si="539"/>
        <v>#DIV/0!</v>
      </c>
    </row>
    <row r="1119" spans="1:9" ht="45.75" customHeight="1" x14ac:dyDescent="0.25">
      <c r="A1119" s="318" t="s">
        <v>567</v>
      </c>
      <c r="B1119" s="315">
        <v>908</v>
      </c>
      <c r="C1119" s="319" t="s">
        <v>249</v>
      </c>
      <c r="D1119" s="319" t="s">
        <v>230</v>
      </c>
      <c r="E1119" s="319" t="s">
        <v>568</v>
      </c>
      <c r="F1119" s="319"/>
      <c r="G1119" s="317">
        <f>G1120+G1135</f>
        <v>2444.6999999999998</v>
      </c>
      <c r="H1119" s="317">
        <f t="shared" ref="H1119" si="553">H1120+H1135</f>
        <v>1738.3820000000001</v>
      </c>
      <c r="I1119" s="317">
        <f t="shared" si="539"/>
        <v>71.108193234343688</v>
      </c>
    </row>
    <row r="1120" spans="1:9" s="211" customFormat="1" ht="32.25" customHeight="1" x14ac:dyDescent="0.25">
      <c r="A1120" s="318" t="s">
        <v>1138</v>
      </c>
      <c r="B1120" s="315">
        <v>908</v>
      </c>
      <c r="C1120" s="319" t="s">
        <v>249</v>
      </c>
      <c r="D1120" s="319" t="s">
        <v>230</v>
      </c>
      <c r="E1120" s="319" t="s">
        <v>1123</v>
      </c>
      <c r="F1120" s="319"/>
      <c r="G1120" s="317">
        <f>G1132+G1121+G1124+G1129</f>
        <v>530.20000000000005</v>
      </c>
      <c r="H1120" s="317">
        <f t="shared" ref="H1120" si="554">H1132+H1121+H1124+H1129</f>
        <v>527.78700000000003</v>
      </c>
      <c r="I1120" s="317">
        <f t="shared" si="539"/>
        <v>99.544888721237271</v>
      </c>
    </row>
    <row r="1121" spans="1:9" ht="15.75" x14ac:dyDescent="0.25">
      <c r="A1121" s="349" t="s">
        <v>570</v>
      </c>
      <c r="B1121" s="346">
        <v>908</v>
      </c>
      <c r="C1121" s="347" t="s">
        <v>249</v>
      </c>
      <c r="D1121" s="347" t="s">
        <v>230</v>
      </c>
      <c r="E1121" s="347" t="s">
        <v>1125</v>
      </c>
      <c r="F1121" s="347"/>
      <c r="G1121" s="321">
        <f>G1122</f>
        <v>39</v>
      </c>
      <c r="H1121" s="321">
        <f t="shared" ref="H1121:H1122" si="555">H1122</f>
        <v>38.130000000000003</v>
      </c>
      <c r="I1121" s="321">
        <f t="shared" si="539"/>
        <v>97.769230769230774</v>
      </c>
    </row>
    <row r="1122" spans="1:9" ht="31.5" x14ac:dyDescent="0.25">
      <c r="A1122" s="349" t="s">
        <v>146</v>
      </c>
      <c r="B1122" s="346">
        <v>908</v>
      </c>
      <c r="C1122" s="347" t="s">
        <v>249</v>
      </c>
      <c r="D1122" s="347" t="s">
        <v>230</v>
      </c>
      <c r="E1122" s="347" t="s">
        <v>1125</v>
      </c>
      <c r="F1122" s="347" t="s">
        <v>147</v>
      </c>
      <c r="G1122" s="321">
        <f>G1123</f>
        <v>39</v>
      </c>
      <c r="H1122" s="321">
        <f t="shared" si="555"/>
        <v>38.130000000000003</v>
      </c>
      <c r="I1122" s="321">
        <f t="shared" si="539"/>
        <v>97.769230769230774</v>
      </c>
    </row>
    <row r="1123" spans="1:9" ht="36" customHeight="1" x14ac:dyDescent="0.25">
      <c r="A1123" s="349" t="s">
        <v>148</v>
      </c>
      <c r="B1123" s="346">
        <v>908</v>
      </c>
      <c r="C1123" s="347" t="s">
        <v>249</v>
      </c>
      <c r="D1123" s="347" t="s">
        <v>230</v>
      </c>
      <c r="E1123" s="347" t="s">
        <v>1125</v>
      </c>
      <c r="F1123" s="347" t="s">
        <v>149</v>
      </c>
      <c r="G1123" s="321">
        <f>4+39-0.9-3.1</f>
        <v>39</v>
      </c>
      <c r="H1123" s="321">
        <v>38.130000000000003</v>
      </c>
      <c r="I1123" s="321">
        <f t="shared" si="539"/>
        <v>97.769230769230774</v>
      </c>
    </row>
    <row r="1124" spans="1:9" ht="30.75" customHeight="1" x14ac:dyDescent="0.25">
      <c r="A1124" s="45" t="s">
        <v>572</v>
      </c>
      <c r="B1124" s="346">
        <v>908</v>
      </c>
      <c r="C1124" s="347" t="s">
        <v>249</v>
      </c>
      <c r="D1124" s="347" t="s">
        <v>230</v>
      </c>
      <c r="E1124" s="347" t="s">
        <v>1126</v>
      </c>
      <c r="F1124" s="347"/>
      <c r="G1124" s="321">
        <f>G1125+G1127</f>
        <v>491.2</v>
      </c>
      <c r="H1124" s="321">
        <f t="shared" ref="H1124" si="556">H1125+H1127</f>
        <v>489.65699999999998</v>
      </c>
      <c r="I1124" s="321">
        <f t="shared" si="539"/>
        <v>99.685871335504885</v>
      </c>
    </row>
    <row r="1125" spans="1:9" ht="31.5" x14ac:dyDescent="0.25">
      <c r="A1125" s="349" t="s">
        <v>146</v>
      </c>
      <c r="B1125" s="346">
        <v>908</v>
      </c>
      <c r="C1125" s="347" t="s">
        <v>249</v>
      </c>
      <c r="D1125" s="347" t="s">
        <v>230</v>
      </c>
      <c r="E1125" s="347" t="s">
        <v>1126</v>
      </c>
      <c r="F1125" s="347" t="s">
        <v>147</v>
      </c>
      <c r="G1125" s="321">
        <f>G1126</f>
        <v>491.2</v>
      </c>
      <c r="H1125" s="321">
        <f t="shared" ref="H1125" si="557">H1126</f>
        <v>489.65699999999998</v>
      </c>
      <c r="I1125" s="321">
        <f t="shared" si="539"/>
        <v>99.685871335504885</v>
      </c>
    </row>
    <row r="1126" spans="1:9" ht="31.5" x14ac:dyDescent="0.25">
      <c r="A1126" s="349" t="s">
        <v>148</v>
      </c>
      <c r="B1126" s="346">
        <v>908</v>
      </c>
      <c r="C1126" s="347" t="s">
        <v>249</v>
      </c>
      <c r="D1126" s="347" t="s">
        <v>230</v>
      </c>
      <c r="E1126" s="347" t="s">
        <v>1126</v>
      </c>
      <c r="F1126" s="347" t="s">
        <v>149</v>
      </c>
      <c r="G1126" s="321">
        <f>300-300+345+145.3+0.9</f>
        <v>491.2</v>
      </c>
      <c r="H1126" s="321">
        <v>489.65699999999998</v>
      </c>
      <c r="I1126" s="321">
        <f t="shared" si="539"/>
        <v>99.685871335504885</v>
      </c>
    </row>
    <row r="1127" spans="1:9" s="211" customFormat="1" ht="15.75" hidden="1" x14ac:dyDescent="0.25">
      <c r="A1127" s="349" t="s">
        <v>150</v>
      </c>
      <c r="B1127" s="346">
        <v>908</v>
      </c>
      <c r="C1127" s="347" t="s">
        <v>249</v>
      </c>
      <c r="D1127" s="347" t="s">
        <v>230</v>
      </c>
      <c r="E1127" s="347" t="s">
        <v>1126</v>
      </c>
      <c r="F1127" s="347" t="s">
        <v>160</v>
      </c>
      <c r="G1127" s="321">
        <f>G1128</f>
        <v>0</v>
      </c>
      <c r="H1127" s="321">
        <f t="shared" ref="H1127" si="558">H1128</f>
        <v>0</v>
      </c>
      <c r="I1127" s="321" t="e">
        <f t="shared" si="539"/>
        <v>#DIV/0!</v>
      </c>
    </row>
    <row r="1128" spans="1:9" s="211" customFormat="1" ht="15.75" hidden="1" x14ac:dyDescent="0.25">
      <c r="A1128" s="349" t="s">
        <v>725</v>
      </c>
      <c r="B1128" s="346">
        <v>908</v>
      </c>
      <c r="C1128" s="347" t="s">
        <v>249</v>
      </c>
      <c r="D1128" s="347" t="s">
        <v>230</v>
      </c>
      <c r="E1128" s="347" t="s">
        <v>1126</v>
      </c>
      <c r="F1128" s="347" t="s">
        <v>153</v>
      </c>
      <c r="G1128" s="321">
        <f>75-75</f>
        <v>0</v>
      </c>
      <c r="H1128" s="321">
        <f t="shared" ref="H1128" si="559">75-75</f>
        <v>0</v>
      </c>
      <c r="I1128" s="321" t="e">
        <f t="shared" si="539"/>
        <v>#DIV/0!</v>
      </c>
    </row>
    <row r="1129" spans="1:9" ht="15.75" hidden="1" x14ac:dyDescent="0.25">
      <c r="A1129" s="45" t="s">
        <v>574</v>
      </c>
      <c r="B1129" s="346">
        <v>908</v>
      </c>
      <c r="C1129" s="347" t="s">
        <v>249</v>
      </c>
      <c r="D1129" s="347" t="s">
        <v>230</v>
      </c>
      <c r="E1129" s="347" t="s">
        <v>1127</v>
      </c>
      <c r="F1129" s="347"/>
      <c r="G1129" s="321">
        <f>G1130</f>
        <v>0</v>
      </c>
      <c r="H1129" s="321">
        <f t="shared" ref="H1129:H1130" si="560">H1130</f>
        <v>0</v>
      </c>
      <c r="I1129" s="321" t="e">
        <f t="shared" si="539"/>
        <v>#DIV/0!</v>
      </c>
    </row>
    <row r="1130" spans="1:9" ht="31.5" hidden="1" x14ac:dyDescent="0.25">
      <c r="A1130" s="349" t="s">
        <v>146</v>
      </c>
      <c r="B1130" s="346">
        <v>908</v>
      </c>
      <c r="C1130" s="347" t="s">
        <v>249</v>
      </c>
      <c r="D1130" s="347" t="s">
        <v>230</v>
      </c>
      <c r="E1130" s="347" t="s">
        <v>1127</v>
      </c>
      <c r="F1130" s="347" t="s">
        <v>147</v>
      </c>
      <c r="G1130" s="321">
        <f>G1131</f>
        <v>0</v>
      </c>
      <c r="H1130" s="321">
        <f t="shared" si="560"/>
        <v>0</v>
      </c>
      <c r="I1130" s="321" t="e">
        <f t="shared" si="539"/>
        <v>#DIV/0!</v>
      </c>
    </row>
    <row r="1131" spans="1:9" ht="31.5" hidden="1" x14ac:dyDescent="0.25">
      <c r="A1131" s="349" t="s">
        <v>148</v>
      </c>
      <c r="B1131" s="346">
        <v>908</v>
      </c>
      <c r="C1131" s="347" t="s">
        <v>249</v>
      </c>
      <c r="D1131" s="347" t="s">
        <v>230</v>
      </c>
      <c r="E1131" s="347" t="s">
        <v>1127</v>
      </c>
      <c r="F1131" s="347" t="s">
        <v>149</v>
      </c>
      <c r="G1131" s="321">
        <v>0</v>
      </c>
      <c r="H1131" s="321">
        <v>0</v>
      </c>
      <c r="I1131" s="321" t="e">
        <f t="shared" si="539"/>
        <v>#DIV/0!</v>
      </c>
    </row>
    <row r="1132" spans="1:9" s="211" customFormat="1" ht="31.5" hidden="1" x14ac:dyDescent="0.25">
      <c r="A1132" s="237" t="s">
        <v>1284</v>
      </c>
      <c r="B1132" s="346">
        <v>908</v>
      </c>
      <c r="C1132" s="347" t="s">
        <v>249</v>
      </c>
      <c r="D1132" s="347" t="s">
        <v>230</v>
      </c>
      <c r="E1132" s="347" t="s">
        <v>1285</v>
      </c>
      <c r="F1132" s="347"/>
      <c r="G1132" s="321">
        <f>G1133</f>
        <v>0</v>
      </c>
      <c r="H1132" s="321">
        <f t="shared" ref="H1132:H1133" si="561">H1133</f>
        <v>0</v>
      </c>
      <c r="I1132" s="321" t="e">
        <f t="shared" si="539"/>
        <v>#DIV/0!</v>
      </c>
    </row>
    <row r="1133" spans="1:9" s="211" customFormat="1" ht="31.5" hidden="1" x14ac:dyDescent="0.25">
      <c r="A1133" s="349" t="s">
        <v>146</v>
      </c>
      <c r="B1133" s="346">
        <v>908</v>
      </c>
      <c r="C1133" s="347" t="s">
        <v>249</v>
      </c>
      <c r="D1133" s="347" t="s">
        <v>230</v>
      </c>
      <c r="E1133" s="347" t="s">
        <v>1285</v>
      </c>
      <c r="F1133" s="347" t="s">
        <v>147</v>
      </c>
      <c r="G1133" s="321">
        <f>G1134</f>
        <v>0</v>
      </c>
      <c r="H1133" s="321">
        <f t="shared" si="561"/>
        <v>0</v>
      </c>
      <c r="I1133" s="321" t="e">
        <f t="shared" si="539"/>
        <v>#DIV/0!</v>
      </c>
    </row>
    <row r="1134" spans="1:9" s="211" customFormat="1" ht="31.5" hidden="1" x14ac:dyDescent="0.25">
      <c r="A1134" s="349" t="s">
        <v>148</v>
      </c>
      <c r="B1134" s="346">
        <v>908</v>
      </c>
      <c r="C1134" s="347" t="s">
        <v>249</v>
      </c>
      <c r="D1134" s="347" t="s">
        <v>230</v>
      </c>
      <c r="E1134" s="347" t="s">
        <v>1285</v>
      </c>
      <c r="F1134" s="347" t="s">
        <v>149</v>
      </c>
      <c r="G1134" s="321">
        <f>11-11</f>
        <v>0</v>
      </c>
      <c r="H1134" s="321">
        <f t="shared" ref="H1134" si="562">11-11</f>
        <v>0</v>
      </c>
      <c r="I1134" s="321" t="e">
        <f t="shared" si="539"/>
        <v>#DIV/0!</v>
      </c>
    </row>
    <row r="1135" spans="1:9" s="211" customFormat="1" ht="31.5" x14ac:dyDescent="0.25">
      <c r="A1135" s="318" t="s">
        <v>948</v>
      </c>
      <c r="B1135" s="315">
        <v>908</v>
      </c>
      <c r="C1135" s="319" t="s">
        <v>249</v>
      </c>
      <c r="D1135" s="319" t="s">
        <v>230</v>
      </c>
      <c r="E1135" s="319" t="s">
        <v>1128</v>
      </c>
      <c r="F1135" s="319"/>
      <c r="G1135" s="317">
        <f>G1136+G1139</f>
        <v>1914.5</v>
      </c>
      <c r="H1135" s="317">
        <f t="shared" ref="H1135" si="563">H1136+H1139</f>
        <v>1210.595</v>
      </c>
      <c r="I1135" s="317">
        <f t="shared" si="539"/>
        <v>63.232958997127184</v>
      </c>
    </row>
    <row r="1136" spans="1:9" s="211" customFormat="1" ht="31.5" hidden="1" x14ac:dyDescent="0.25">
      <c r="A1136" s="349" t="s">
        <v>705</v>
      </c>
      <c r="B1136" s="346">
        <v>908</v>
      </c>
      <c r="C1136" s="347" t="s">
        <v>249</v>
      </c>
      <c r="D1136" s="347" t="s">
        <v>230</v>
      </c>
      <c r="E1136" s="347" t="s">
        <v>1129</v>
      </c>
      <c r="F1136" s="347"/>
      <c r="G1136" s="321">
        <f>G1137</f>
        <v>0</v>
      </c>
      <c r="H1136" s="321">
        <f t="shared" ref="H1136:H1137" si="564">H1137</f>
        <v>0</v>
      </c>
      <c r="I1136" s="321" t="e">
        <f t="shared" si="539"/>
        <v>#DIV/0!</v>
      </c>
    </row>
    <row r="1137" spans="1:9" s="211" customFormat="1" ht="31.5" hidden="1" x14ac:dyDescent="0.25">
      <c r="A1137" s="349" t="s">
        <v>146</v>
      </c>
      <c r="B1137" s="346">
        <v>908</v>
      </c>
      <c r="C1137" s="347" t="s">
        <v>249</v>
      </c>
      <c r="D1137" s="347" t="s">
        <v>230</v>
      </c>
      <c r="E1137" s="347" t="s">
        <v>1129</v>
      </c>
      <c r="F1137" s="347" t="s">
        <v>147</v>
      </c>
      <c r="G1137" s="321">
        <f>G1138</f>
        <v>0</v>
      </c>
      <c r="H1137" s="321">
        <f t="shared" si="564"/>
        <v>0</v>
      </c>
      <c r="I1137" s="321" t="e">
        <f t="shared" si="539"/>
        <v>#DIV/0!</v>
      </c>
    </row>
    <row r="1138" spans="1:9" s="211" customFormat="1" ht="31.5" hidden="1" x14ac:dyDescent="0.25">
      <c r="A1138" s="349" t="s">
        <v>148</v>
      </c>
      <c r="B1138" s="346">
        <v>908</v>
      </c>
      <c r="C1138" s="347" t="s">
        <v>249</v>
      </c>
      <c r="D1138" s="347" t="s">
        <v>230</v>
      </c>
      <c r="E1138" s="347" t="s">
        <v>1129</v>
      </c>
      <c r="F1138" s="347" t="s">
        <v>149</v>
      </c>
      <c r="G1138" s="321">
        <v>0</v>
      </c>
      <c r="H1138" s="321">
        <v>0</v>
      </c>
      <c r="I1138" s="321" t="e">
        <f t="shared" si="539"/>
        <v>#DIV/0!</v>
      </c>
    </row>
    <row r="1139" spans="1:9" s="211" customFormat="1" ht="47.25" x14ac:dyDescent="0.25">
      <c r="A1139" s="349" t="s">
        <v>1247</v>
      </c>
      <c r="B1139" s="346">
        <v>908</v>
      </c>
      <c r="C1139" s="347" t="s">
        <v>249</v>
      </c>
      <c r="D1139" s="347" t="s">
        <v>230</v>
      </c>
      <c r="E1139" s="347" t="s">
        <v>1248</v>
      </c>
      <c r="F1139" s="347"/>
      <c r="G1139" s="321">
        <f>G1140</f>
        <v>1914.5</v>
      </c>
      <c r="H1139" s="321">
        <f t="shared" ref="H1139:H1140" si="565">H1140</f>
        <v>1210.595</v>
      </c>
      <c r="I1139" s="321">
        <f t="shared" si="539"/>
        <v>63.232958997127184</v>
      </c>
    </row>
    <row r="1140" spans="1:9" s="211" customFormat="1" ht="31.5" x14ac:dyDescent="0.25">
      <c r="A1140" s="349" t="s">
        <v>146</v>
      </c>
      <c r="B1140" s="346">
        <v>908</v>
      </c>
      <c r="C1140" s="347" t="s">
        <v>249</v>
      </c>
      <c r="D1140" s="347" t="s">
        <v>230</v>
      </c>
      <c r="E1140" s="347" t="s">
        <v>1248</v>
      </c>
      <c r="F1140" s="347" t="s">
        <v>147</v>
      </c>
      <c r="G1140" s="321">
        <f>G1141</f>
        <v>1914.5</v>
      </c>
      <c r="H1140" s="321">
        <f t="shared" si="565"/>
        <v>1210.595</v>
      </c>
      <c r="I1140" s="321">
        <f t="shared" si="539"/>
        <v>63.232958997127184</v>
      </c>
    </row>
    <row r="1141" spans="1:9" s="211" customFormat="1" ht="31.5" x14ac:dyDescent="0.25">
      <c r="A1141" s="349" t="s">
        <v>148</v>
      </c>
      <c r="B1141" s="346">
        <v>908</v>
      </c>
      <c r="C1141" s="347" t="s">
        <v>249</v>
      </c>
      <c r="D1141" s="347" t="s">
        <v>230</v>
      </c>
      <c r="E1141" s="347" t="s">
        <v>1248</v>
      </c>
      <c r="F1141" s="347" t="s">
        <v>149</v>
      </c>
      <c r="G1141" s="321">
        <v>1914.5</v>
      </c>
      <c r="H1141" s="321">
        <v>1210.595</v>
      </c>
      <c r="I1141" s="321">
        <f t="shared" si="539"/>
        <v>63.232958997127184</v>
      </c>
    </row>
    <row r="1142" spans="1:9" ht="52.5" hidden="1" customHeight="1" x14ac:dyDescent="0.25">
      <c r="A1142" s="318" t="s">
        <v>821</v>
      </c>
      <c r="B1142" s="315">
        <v>908</v>
      </c>
      <c r="C1142" s="319" t="s">
        <v>249</v>
      </c>
      <c r="D1142" s="319" t="s">
        <v>230</v>
      </c>
      <c r="E1142" s="319" t="s">
        <v>732</v>
      </c>
      <c r="F1142" s="319"/>
      <c r="G1142" s="317">
        <f>G1143</f>
        <v>0</v>
      </c>
      <c r="H1142" s="317">
        <f t="shared" ref="H1142:H1145" si="566">H1143</f>
        <v>0</v>
      </c>
      <c r="I1142" s="321" t="e">
        <f t="shared" si="539"/>
        <v>#DIV/0!</v>
      </c>
    </row>
    <row r="1143" spans="1:9" s="211" customFormat="1" ht="34.5" hidden="1" customHeight="1" x14ac:dyDescent="0.25">
      <c r="A1143" s="318" t="s">
        <v>1243</v>
      </c>
      <c r="B1143" s="315">
        <v>908</v>
      </c>
      <c r="C1143" s="319" t="s">
        <v>249</v>
      </c>
      <c r="D1143" s="319" t="s">
        <v>230</v>
      </c>
      <c r="E1143" s="319" t="s">
        <v>1283</v>
      </c>
      <c r="F1143" s="319"/>
      <c r="G1143" s="317">
        <f>G1144</f>
        <v>0</v>
      </c>
      <c r="H1143" s="317">
        <f t="shared" si="566"/>
        <v>0</v>
      </c>
      <c r="I1143" s="321" t="e">
        <f t="shared" si="539"/>
        <v>#DIV/0!</v>
      </c>
    </row>
    <row r="1144" spans="1:9" ht="48.75" hidden="1" customHeight="1" x14ac:dyDescent="0.25">
      <c r="A1144" s="80" t="s">
        <v>708</v>
      </c>
      <c r="B1144" s="346">
        <v>908</v>
      </c>
      <c r="C1144" s="347" t="s">
        <v>249</v>
      </c>
      <c r="D1144" s="347" t="s">
        <v>230</v>
      </c>
      <c r="E1144" s="347" t="s">
        <v>879</v>
      </c>
      <c r="F1144" s="347"/>
      <c r="G1144" s="321">
        <f>G1145</f>
        <v>0</v>
      </c>
      <c r="H1144" s="321">
        <f t="shared" si="566"/>
        <v>0</v>
      </c>
      <c r="I1144" s="321" t="e">
        <f t="shared" si="539"/>
        <v>#DIV/0!</v>
      </c>
    </row>
    <row r="1145" spans="1:9" ht="31.5" hidden="1" x14ac:dyDescent="0.25">
      <c r="A1145" s="349" t="s">
        <v>146</v>
      </c>
      <c r="B1145" s="346">
        <v>908</v>
      </c>
      <c r="C1145" s="347" t="s">
        <v>249</v>
      </c>
      <c r="D1145" s="347" t="s">
        <v>230</v>
      </c>
      <c r="E1145" s="347" t="s">
        <v>879</v>
      </c>
      <c r="F1145" s="347" t="s">
        <v>147</v>
      </c>
      <c r="G1145" s="321">
        <f>G1146</f>
        <v>0</v>
      </c>
      <c r="H1145" s="321">
        <f t="shared" si="566"/>
        <v>0</v>
      </c>
      <c r="I1145" s="321" t="e">
        <f t="shared" si="539"/>
        <v>#DIV/0!</v>
      </c>
    </row>
    <row r="1146" spans="1:9" ht="31.5" hidden="1" x14ac:dyDescent="0.25">
      <c r="A1146" s="349" t="s">
        <v>148</v>
      </c>
      <c r="B1146" s="346">
        <v>908</v>
      </c>
      <c r="C1146" s="347" t="s">
        <v>249</v>
      </c>
      <c r="D1146" s="347" t="s">
        <v>230</v>
      </c>
      <c r="E1146" s="347" t="s">
        <v>879</v>
      </c>
      <c r="F1146" s="347" t="s">
        <v>149</v>
      </c>
      <c r="G1146" s="321">
        <f>500-99-401</f>
        <v>0</v>
      </c>
      <c r="H1146" s="321">
        <f t="shared" ref="H1146" si="567">500-99-401</f>
        <v>0</v>
      </c>
      <c r="I1146" s="321" t="e">
        <f t="shared" si="539"/>
        <v>#DIV/0!</v>
      </c>
    </row>
    <row r="1147" spans="1:9" ht="31.5" x14ac:dyDescent="0.25">
      <c r="A1147" s="318" t="s">
        <v>584</v>
      </c>
      <c r="B1147" s="315">
        <v>908</v>
      </c>
      <c r="C1147" s="319" t="s">
        <v>249</v>
      </c>
      <c r="D1147" s="319" t="s">
        <v>249</v>
      </c>
      <c r="E1147" s="319"/>
      <c r="F1147" s="319"/>
      <c r="G1147" s="317">
        <f>G1148+G1163+G1182</f>
        <v>23713.618200000001</v>
      </c>
      <c r="H1147" s="317">
        <f t="shared" ref="H1147" si="568">H1148+H1163+H1182</f>
        <v>23662.074999999997</v>
      </c>
      <c r="I1147" s="317">
        <f t="shared" si="539"/>
        <v>99.782643038420844</v>
      </c>
    </row>
    <row r="1148" spans="1:9" ht="31.5" x14ac:dyDescent="0.25">
      <c r="A1148" s="318" t="s">
        <v>988</v>
      </c>
      <c r="B1148" s="315">
        <v>908</v>
      </c>
      <c r="C1148" s="319" t="s">
        <v>249</v>
      </c>
      <c r="D1148" s="319" t="s">
        <v>249</v>
      </c>
      <c r="E1148" s="319" t="s">
        <v>902</v>
      </c>
      <c r="F1148" s="319"/>
      <c r="G1148" s="317">
        <f>G1149</f>
        <v>11038.4182</v>
      </c>
      <c r="H1148" s="317">
        <f t="shared" ref="H1148" si="569">H1149</f>
        <v>11036.168</v>
      </c>
      <c r="I1148" s="317">
        <f t="shared" si="539"/>
        <v>99.979614832857123</v>
      </c>
    </row>
    <row r="1149" spans="1:9" ht="15.75" x14ac:dyDescent="0.25">
      <c r="A1149" s="318" t="s">
        <v>989</v>
      </c>
      <c r="B1149" s="315">
        <v>908</v>
      </c>
      <c r="C1149" s="319" t="s">
        <v>249</v>
      </c>
      <c r="D1149" s="319" t="s">
        <v>249</v>
      </c>
      <c r="E1149" s="319" t="s">
        <v>903</v>
      </c>
      <c r="F1149" s="319"/>
      <c r="G1149" s="317">
        <f>G1150+G1157+G1160</f>
        <v>11038.4182</v>
      </c>
      <c r="H1149" s="317">
        <f t="shared" ref="H1149" si="570">H1150+H1157+H1160</f>
        <v>11036.168</v>
      </c>
      <c r="I1149" s="317">
        <f t="shared" si="539"/>
        <v>99.979614832857123</v>
      </c>
    </row>
    <row r="1150" spans="1:9" ht="31.5" x14ac:dyDescent="0.25">
      <c r="A1150" s="349" t="s">
        <v>965</v>
      </c>
      <c r="B1150" s="346">
        <v>908</v>
      </c>
      <c r="C1150" s="347" t="s">
        <v>249</v>
      </c>
      <c r="D1150" s="347" t="s">
        <v>249</v>
      </c>
      <c r="E1150" s="347" t="s">
        <v>904</v>
      </c>
      <c r="F1150" s="347"/>
      <c r="G1150" s="321">
        <f>G1151+G1155+G1153</f>
        <v>10329</v>
      </c>
      <c r="H1150" s="321">
        <f t="shared" ref="H1150" si="571">H1151+H1155+H1153</f>
        <v>10326.788999999999</v>
      </c>
      <c r="I1150" s="321">
        <f t="shared" si="539"/>
        <v>99.978594249201265</v>
      </c>
    </row>
    <row r="1151" spans="1:9" ht="60.75" customHeight="1" x14ac:dyDescent="0.25">
      <c r="A1151" s="349" t="s">
        <v>142</v>
      </c>
      <c r="B1151" s="346">
        <v>908</v>
      </c>
      <c r="C1151" s="347" t="s">
        <v>249</v>
      </c>
      <c r="D1151" s="347" t="s">
        <v>249</v>
      </c>
      <c r="E1151" s="347" t="s">
        <v>904</v>
      </c>
      <c r="F1151" s="347" t="s">
        <v>143</v>
      </c>
      <c r="G1151" s="321">
        <f>G1152</f>
        <v>10279.9</v>
      </c>
      <c r="H1151" s="321">
        <f t="shared" ref="H1151" si="572">H1152</f>
        <v>10279.165999999999</v>
      </c>
      <c r="I1151" s="321">
        <f t="shared" si="539"/>
        <v>99.992859852722304</v>
      </c>
    </row>
    <row r="1152" spans="1:9" ht="31.5" x14ac:dyDescent="0.25">
      <c r="A1152" s="349" t="s">
        <v>144</v>
      </c>
      <c r="B1152" s="346">
        <v>908</v>
      </c>
      <c r="C1152" s="347" t="s">
        <v>249</v>
      </c>
      <c r="D1152" s="347" t="s">
        <v>249</v>
      </c>
      <c r="E1152" s="347" t="s">
        <v>904</v>
      </c>
      <c r="F1152" s="347" t="s">
        <v>145</v>
      </c>
      <c r="G1152" s="339">
        <f>11138+566-27+12.5-224.8-20-30-20-70-361.2-28+25-44-14.7-479.3-30-10+100+6.9-350+100+55-9.5-5</f>
        <v>10279.9</v>
      </c>
      <c r="H1152" s="339">
        <v>10279.165999999999</v>
      </c>
      <c r="I1152" s="321">
        <f t="shared" si="539"/>
        <v>99.992859852722304</v>
      </c>
    </row>
    <row r="1153" spans="1:9" ht="31.5" x14ac:dyDescent="0.25">
      <c r="A1153" s="349" t="s">
        <v>146</v>
      </c>
      <c r="B1153" s="346">
        <v>908</v>
      </c>
      <c r="C1153" s="347" t="s">
        <v>249</v>
      </c>
      <c r="D1153" s="347" t="s">
        <v>249</v>
      </c>
      <c r="E1153" s="347" t="s">
        <v>904</v>
      </c>
      <c r="F1153" s="347" t="s">
        <v>147</v>
      </c>
      <c r="G1153" s="321">
        <f>G1154</f>
        <v>8.9000000000000021</v>
      </c>
      <c r="H1153" s="321">
        <f t="shared" ref="H1153" si="573">H1154</f>
        <v>8.82</v>
      </c>
      <c r="I1153" s="321">
        <f t="shared" si="539"/>
        <v>99.101123595505598</v>
      </c>
    </row>
    <row r="1154" spans="1:9" ht="36.75" customHeight="1" x14ac:dyDescent="0.25">
      <c r="A1154" s="349" t="s">
        <v>148</v>
      </c>
      <c r="B1154" s="346">
        <v>908</v>
      </c>
      <c r="C1154" s="347" t="s">
        <v>249</v>
      </c>
      <c r="D1154" s="347" t="s">
        <v>249</v>
      </c>
      <c r="E1154" s="347" t="s">
        <v>904</v>
      </c>
      <c r="F1154" s="347" t="s">
        <v>149</v>
      </c>
      <c r="G1154" s="339">
        <f>25-6.9-9.2</f>
        <v>8.9000000000000021</v>
      </c>
      <c r="H1154" s="339">
        <v>8.82</v>
      </c>
      <c r="I1154" s="321">
        <f t="shared" si="539"/>
        <v>99.101123595505598</v>
      </c>
    </row>
    <row r="1155" spans="1:9" ht="15.75" x14ac:dyDescent="0.25">
      <c r="A1155" s="349" t="s">
        <v>150</v>
      </c>
      <c r="B1155" s="346">
        <v>908</v>
      </c>
      <c r="C1155" s="347" t="s">
        <v>249</v>
      </c>
      <c r="D1155" s="347" t="s">
        <v>249</v>
      </c>
      <c r="E1155" s="347" t="s">
        <v>904</v>
      </c>
      <c r="F1155" s="347" t="s">
        <v>160</v>
      </c>
      <c r="G1155" s="321">
        <f>G1156</f>
        <v>40.200000000000003</v>
      </c>
      <c r="H1155" s="321">
        <f t="shared" ref="H1155" si="574">H1156</f>
        <v>38.802999999999997</v>
      </c>
      <c r="I1155" s="321">
        <f t="shared" si="539"/>
        <v>96.524875621890544</v>
      </c>
    </row>
    <row r="1156" spans="1:9" ht="15.75" x14ac:dyDescent="0.25">
      <c r="A1156" s="349" t="s">
        <v>583</v>
      </c>
      <c r="B1156" s="346">
        <v>908</v>
      </c>
      <c r="C1156" s="347" t="s">
        <v>249</v>
      </c>
      <c r="D1156" s="347" t="s">
        <v>249</v>
      </c>
      <c r="E1156" s="347" t="s">
        <v>904</v>
      </c>
      <c r="F1156" s="347" t="s">
        <v>153</v>
      </c>
      <c r="G1156" s="321">
        <f>47-6.8</f>
        <v>40.200000000000003</v>
      </c>
      <c r="H1156" s="321">
        <v>38.802999999999997</v>
      </c>
      <c r="I1156" s="321">
        <f t="shared" si="539"/>
        <v>96.524875621890544</v>
      </c>
    </row>
    <row r="1157" spans="1:9" s="211" customFormat="1" ht="31.5" x14ac:dyDescent="0.25">
      <c r="A1157" s="349" t="s">
        <v>883</v>
      </c>
      <c r="B1157" s="346">
        <v>908</v>
      </c>
      <c r="C1157" s="347" t="s">
        <v>249</v>
      </c>
      <c r="D1157" s="347" t="s">
        <v>249</v>
      </c>
      <c r="E1157" s="347" t="s">
        <v>906</v>
      </c>
      <c r="F1157" s="347"/>
      <c r="G1157" s="321">
        <f>G1158</f>
        <v>607.80000000000007</v>
      </c>
      <c r="H1157" s="321">
        <f t="shared" ref="H1157:H1158" si="575">H1158</f>
        <v>607.76099999999997</v>
      </c>
      <c r="I1157" s="321">
        <f t="shared" si="539"/>
        <v>99.993583415597215</v>
      </c>
    </row>
    <row r="1158" spans="1:9" s="211" customFormat="1" ht="78.75" x14ac:dyDescent="0.25">
      <c r="A1158" s="349" t="s">
        <v>142</v>
      </c>
      <c r="B1158" s="346">
        <v>908</v>
      </c>
      <c r="C1158" s="347" t="s">
        <v>249</v>
      </c>
      <c r="D1158" s="347" t="s">
        <v>249</v>
      </c>
      <c r="E1158" s="347" t="s">
        <v>906</v>
      </c>
      <c r="F1158" s="347" t="s">
        <v>143</v>
      </c>
      <c r="G1158" s="321">
        <f>G1159</f>
        <v>607.80000000000007</v>
      </c>
      <c r="H1158" s="321">
        <f t="shared" si="575"/>
        <v>607.76099999999997</v>
      </c>
      <c r="I1158" s="321">
        <f t="shared" si="539"/>
        <v>99.993583415597215</v>
      </c>
    </row>
    <row r="1159" spans="1:9" s="211" customFormat="1" ht="31.5" x14ac:dyDescent="0.25">
      <c r="A1159" s="349" t="s">
        <v>144</v>
      </c>
      <c r="B1159" s="346">
        <v>908</v>
      </c>
      <c r="C1159" s="347" t="s">
        <v>249</v>
      </c>
      <c r="D1159" s="347" t="s">
        <v>249</v>
      </c>
      <c r="E1159" s="347" t="s">
        <v>906</v>
      </c>
      <c r="F1159" s="347" t="s">
        <v>145</v>
      </c>
      <c r="G1159" s="321">
        <f>336+27+278-26.5-3.8-17.6+14.7</f>
        <v>607.80000000000007</v>
      </c>
      <c r="H1159" s="321">
        <v>607.76099999999997</v>
      </c>
      <c r="I1159" s="321">
        <f t="shared" si="539"/>
        <v>99.993583415597215</v>
      </c>
    </row>
    <row r="1160" spans="1:9" s="310" customFormat="1" ht="31.5" x14ac:dyDescent="0.25">
      <c r="A1160" s="349" t="s">
        <v>1582</v>
      </c>
      <c r="B1160" s="346">
        <v>908</v>
      </c>
      <c r="C1160" s="347" t="s">
        <v>249</v>
      </c>
      <c r="D1160" s="347" t="s">
        <v>249</v>
      </c>
      <c r="E1160" s="347" t="s">
        <v>1584</v>
      </c>
      <c r="F1160" s="347"/>
      <c r="G1160" s="321">
        <f>G1161</f>
        <v>101.6182</v>
      </c>
      <c r="H1160" s="321">
        <f t="shared" ref="H1160:H1161" si="576">H1161</f>
        <v>101.61799999999999</v>
      </c>
      <c r="I1160" s="321">
        <f t="shared" si="539"/>
        <v>99.999803184862543</v>
      </c>
    </row>
    <row r="1161" spans="1:9" s="310" customFormat="1" ht="78.75" x14ac:dyDescent="0.25">
      <c r="A1161" s="349" t="s">
        <v>142</v>
      </c>
      <c r="B1161" s="346">
        <v>908</v>
      </c>
      <c r="C1161" s="347" t="s">
        <v>249</v>
      </c>
      <c r="D1161" s="347" t="s">
        <v>249</v>
      </c>
      <c r="E1161" s="347" t="s">
        <v>1584</v>
      </c>
      <c r="F1161" s="347" t="s">
        <v>143</v>
      </c>
      <c r="G1161" s="321">
        <f>G1162</f>
        <v>101.6182</v>
      </c>
      <c r="H1161" s="321">
        <f t="shared" si="576"/>
        <v>101.61799999999999</v>
      </c>
      <c r="I1161" s="321">
        <f t="shared" ref="I1161:I1224" si="577">H1161/G1161*100</f>
        <v>99.999803184862543</v>
      </c>
    </row>
    <row r="1162" spans="1:9" s="310" customFormat="1" ht="31.5" x14ac:dyDescent="0.25">
      <c r="A1162" s="349" t="s">
        <v>144</v>
      </c>
      <c r="B1162" s="346">
        <v>908</v>
      </c>
      <c r="C1162" s="347" t="s">
        <v>249</v>
      </c>
      <c r="D1162" s="347" t="s">
        <v>249</v>
      </c>
      <c r="E1162" s="347" t="s">
        <v>1584</v>
      </c>
      <c r="F1162" s="347" t="s">
        <v>145</v>
      </c>
      <c r="G1162" s="321">
        <v>101.6182</v>
      </c>
      <c r="H1162" s="321">
        <v>101.61799999999999</v>
      </c>
      <c r="I1162" s="321">
        <f t="shared" si="577"/>
        <v>99.999803184862543</v>
      </c>
    </row>
    <row r="1163" spans="1:9" ht="15.75" x14ac:dyDescent="0.25">
      <c r="A1163" s="318" t="s">
        <v>156</v>
      </c>
      <c r="B1163" s="315">
        <v>908</v>
      </c>
      <c r="C1163" s="319" t="s">
        <v>249</v>
      </c>
      <c r="D1163" s="319" t="s">
        <v>249</v>
      </c>
      <c r="E1163" s="319" t="s">
        <v>910</v>
      </c>
      <c r="F1163" s="319"/>
      <c r="G1163" s="317">
        <f>G1164+G1173</f>
        <v>12667.100000000002</v>
      </c>
      <c r="H1163" s="317">
        <f t="shared" ref="H1163" si="578">H1164+H1173</f>
        <v>12617.906999999999</v>
      </c>
      <c r="I1163" s="317">
        <f t="shared" si="577"/>
        <v>99.611647496269839</v>
      </c>
    </row>
    <row r="1164" spans="1:9" s="211" customFormat="1" ht="31.5" x14ac:dyDescent="0.25">
      <c r="A1164" s="318" t="s">
        <v>914</v>
      </c>
      <c r="B1164" s="315">
        <v>908</v>
      </c>
      <c r="C1164" s="319" t="s">
        <v>249</v>
      </c>
      <c r="D1164" s="319" t="s">
        <v>249</v>
      </c>
      <c r="E1164" s="319" t="s">
        <v>909</v>
      </c>
      <c r="F1164" s="319"/>
      <c r="G1164" s="317">
        <f>G1165+G1170</f>
        <v>1634.2</v>
      </c>
      <c r="H1164" s="317">
        <f t="shared" ref="H1164" si="579">H1165+H1170</f>
        <v>1624.5360000000001</v>
      </c>
      <c r="I1164" s="317">
        <f t="shared" si="577"/>
        <v>99.408640313303138</v>
      </c>
    </row>
    <row r="1165" spans="1:9" ht="31.5" x14ac:dyDescent="0.25">
      <c r="A1165" s="349" t="s">
        <v>585</v>
      </c>
      <c r="B1165" s="346">
        <v>908</v>
      </c>
      <c r="C1165" s="347" t="s">
        <v>249</v>
      </c>
      <c r="D1165" s="347" t="s">
        <v>249</v>
      </c>
      <c r="E1165" s="347" t="s">
        <v>1130</v>
      </c>
      <c r="F1165" s="347"/>
      <c r="G1165" s="339">
        <f>G1168+G1166</f>
        <v>1634.2</v>
      </c>
      <c r="H1165" s="339">
        <f t="shared" ref="H1165" si="580">H1168+H1166</f>
        <v>1624.5360000000001</v>
      </c>
      <c r="I1165" s="321">
        <f t="shared" si="577"/>
        <v>99.408640313303138</v>
      </c>
    </row>
    <row r="1166" spans="1:9" s="211" customFormat="1" ht="31.5" x14ac:dyDescent="0.25">
      <c r="A1166" s="349" t="s">
        <v>146</v>
      </c>
      <c r="B1166" s="346">
        <v>908</v>
      </c>
      <c r="C1166" s="347" t="s">
        <v>249</v>
      </c>
      <c r="D1166" s="347" t="s">
        <v>249</v>
      </c>
      <c r="E1166" s="347" t="s">
        <v>1130</v>
      </c>
      <c r="F1166" s="347" t="s">
        <v>147</v>
      </c>
      <c r="G1166" s="339">
        <f>G1167</f>
        <v>480</v>
      </c>
      <c r="H1166" s="339">
        <f t="shared" ref="H1166" si="581">H1167</f>
        <v>480</v>
      </c>
      <c r="I1166" s="321">
        <f t="shared" si="577"/>
        <v>100</v>
      </c>
    </row>
    <row r="1167" spans="1:9" s="211" customFormat="1" ht="31.5" x14ac:dyDescent="0.25">
      <c r="A1167" s="349" t="s">
        <v>148</v>
      </c>
      <c r="B1167" s="346">
        <v>908</v>
      </c>
      <c r="C1167" s="347" t="s">
        <v>249</v>
      </c>
      <c r="D1167" s="347" t="s">
        <v>249</v>
      </c>
      <c r="E1167" s="347" t="s">
        <v>1130</v>
      </c>
      <c r="F1167" s="347" t="s">
        <v>149</v>
      </c>
      <c r="G1167" s="339">
        <v>480</v>
      </c>
      <c r="H1167" s="339">
        <v>480</v>
      </c>
      <c r="I1167" s="321">
        <f t="shared" si="577"/>
        <v>100</v>
      </c>
    </row>
    <row r="1168" spans="1:9" ht="15.75" x14ac:dyDescent="0.25">
      <c r="A1168" s="349" t="s">
        <v>150</v>
      </c>
      <c r="B1168" s="346">
        <v>908</v>
      </c>
      <c r="C1168" s="347" t="s">
        <v>249</v>
      </c>
      <c r="D1168" s="347" t="s">
        <v>249</v>
      </c>
      <c r="E1168" s="347" t="s">
        <v>1130</v>
      </c>
      <c r="F1168" s="347" t="s">
        <v>160</v>
      </c>
      <c r="G1168" s="339">
        <f>G1169</f>
        <v>1154.2</v>
      </c>
      <c r="H1168" s="339">
        <f t="shared" ref="H1168" si="582">H1169</f>
        <v>1144.5360000000001</v>
      </c>
      <c r="I1168" s="321">
        <f t="shared" si="577"/>
        <v>99.162710102235323</v>
      </c>
    </row>
    <row r="1169" spans="1:9" ht="47.25" customHeight="1" x14ac:dyDescent="0.25">
      <c r="A1169" s="349" t="s">
        <v>199</v>
      </c>
      <c r="B1169" s="346">
        <v>908</v>
      </c>
      <c r="C1169" s="347" t="s">
        <v>249</v>
      </c>
      <c r="D1169" s="347" t="s">
        <v>249</v>
      </c>
      <c r="E1169" s="347" t="s">
        <v>1130</v>
      </c>
      <c r="F1169" s="347" t="s">
        <v>175</v>
      </c>
      <c r="G1169" s="339">
        <f>982+35+137.2</f>
        <v>1154.2</v>
      </c>
      <c r="H1169" s="339">
        <v>1144.5360000000001</v>
      </c>
      <c r="I1169" s="321">
        <f t="shared" si="577"/>
        <v>99.162710102235323</v>
      </c>
    </row>
    <row r="1170" spans="1:9" s="211" customFormat="1" ht="37.5" hidden="1" customHeight="1" x14ac:dyDescent="0.25">
      <c r="A1170" s="349" t="s">
        <v>866</v>
      </c>
      <c r="B1170" s="346">
        <v>908</v>
      </c>
      <c r="C1170" s="347" t="s">
        <v>249</v>
      </c>
      <c r="D1170" s="347" t="s">
        <v>249</v>
      </c>
      <c r="E1170" s="347" t="s">
        <v>1249</v>
      </c>
      <c r="F1170" s="347"/>
      <c r="G1170" s="339">
        <f>G1171</f>
        <v>0</v>
      </c>
      <c r="H1170" s="339">
        <f t="shared" ref="H1170:H1171" si="583">H1171</f>
        <v>0</v>
      </c>
      <c r="I1170" s="321" t="e">
        <f t="shared" si="577"/>
        <v>#DIV/0!</v>
      </c>
    </row>
    <row r="1171" spans="1:9" s="211" customFormat="1" ht="21.75" hidden="1" customHeight="1" x14ac:dyDescent="0.25">
      <c r="A1171" s="349" t="s">
        <v>150</v>
      </c>
      <c r="B1171" s="346">
        <v>908</v>
      </c>
      <c r="C1171" s="347" t="s">
        <v>249</v>
      </c>
      <c r="D1171" s="347" t="s">
        <v>249</v>
      </c>
      <c r="E1171" s="347" t="s">
        <v>1249</v>
      </c>
      <c r="F1171" s="347" t="s">
        <v>160</v>
      </c>
      <c r="G1171" s="339">
        <f>G1172</f>
        <v>0</v>
      </c>
      <c r="H1171" s="339">
        <f t="shared" si="583"/>
        <v>0</v>
      </c>
      <c r="I1171" s="321" t="e">
        <f t="shared" si="577"/>
        <v>#DIV/0!</v>
      </c>
    </row>
    <row r="1172" spans="1:9" s="211" customFormat="1" ht="47.25" hidden="1" customHeight="1" x14ac:dyDescent="0.25">
      <c r="A1172" s="349" t="s">
        <v>199</v>
      </c>
      <c r="B1172" s="346">
        <v>908</v>
      </c>
      <c r="C1172" s="347" t="s">
        <v>249</v>
      </c>
      <c r="D1172" s="347" t="s">
        <v>249</v>
      </c>
      <c r="E1172" s="347" t="s">
        <v>1249</v>
      </c>
      <c r="F1172" s="347" t="s">
        <v>175</v>
      </c>
      <c r="G1172" s="339">
        <v>0</v>
      </c>
      <c r="H1172" s="339">
        <v>0</v>
      </c>
      <c r="I1172" s="321" t="e">
        <f t="shared" si="577"/>
        <v>#DIV/0!</v>
      </c>
    </row>
    <row r="1173" spans="1:9" s="211" customFormat="1" ht="36.75" customHeight="1" x14ac:dyDescent="0.25">
      <c r="A1173" s="318" t="s">
        <v>1000</v>
      </c>
      <c r="B1173" s="315">
        <v>908</v>
      </c>
      <c r="C1173" s="319" t="s">
        <v>249</v>
      </c>
      <c r="D1173" s="319" t="s">
        <v>249</v>
      </c>
      <c r="E1173" s="319" t="s">
        <v>985</v>
      </c>
      <c r="F1173" s="319"/>
      <c r="G1173" s="44">
        <f>G1174+G1179</f>
        <v>11032.900000000001</v>
      </c>
      <c r="H1173" s="44">
        <f t="shared" ref="H1173" si="584">H1174+H1179</f>
        <v>10993.370999999999</v>
      </c>
      <c r="I1173" s="317">
        <f t="shared" si="577"/>
        <v>99.641717046288804</v>
      </c>
    </row>
    <row r="1174" spans="1:9" ht="31.5" x14ac:dyDescent="0.25">
      <c r="A1174" s="349" t="s">
        <v>972</v>
      </c>
      <c r="B1174" s="346">
        <v>908</v>
      </c>
      <c r="C1174" s="347" t="s">
        <v>249</v>
      </c>
      <c r="D1174" s="347" t="s">
        <v>249</v>
      </c>
      <c r="E1174" s="347" t="s">
        <v>986</v>
      </c>
      <c r="F1174" s="347"/>
      <c r="G1174" s="321">
        <f>G1175+G1177</f>
        <v>10859.900000000001</v>
      </c>
      <c r="H1174" s="321">
        <f t="shared" ref="H1174" si="585">H1175+H1177</f>
        <v>10821.255999999999</v>
      </c>
      <c r="I1174" s="321">
        <f t="shared" si="577"/>
        <v>99.644158785992488</v>
      </c>
    </row>
    <row r="1175" spans="1:9" ht="69.75" customHeight="1" x14ac:dyDescent="0.25">
      <c r="A1175" s="349" t="s">
        <v>142</v>
      </c>
      <c r="B1175" s="346">
        <v>908</v>
      </c>
      <c r="C1175" s="347" t="s">
        <v>249</v>
      </c>
      <c r="D1175" s="347" t="s">
        <v>249</v>
      </c>
      <c r="E1175" s="347" t="s">
        <v>986</v>
      </c>
      <c r="F1175" s="347" t="s">
        <v>143</v>
      </c>
      <c r="G1175" s="321">
        <f>G1176</f>
        <v>8668.6</v>
      </c>
      <c r="H1175" s="321">
        <f t="shared" ref="H1175" si="586">H1176</f>
        <v>8661.1859999999997</v>
      </c>
      <c r="I1175" s="321">
        <f t="shared" si="577"/>
        <v>99.914472925270516</v>
      </c>
    </row>
    <row r="1176" spans="1:9" ht="19.149999999999999" customHeight="1" x14ac:dyDescent="0.25">
      <c r="A1176" s="349" t="s">
        <v>357</v>
      </c>
      <c r="B1176" s="346">
        <v>908</v>
      </c>
      <c r="C1176" s="347" t="s">
        <v>249</v>
      </c>
      <c r="D1176" s="347" t="s">
        <v>249</v>
      </c>
      <c r="E1176" s="347" t="s">
        <v>986</v>
      </c>
      <c r="F1176" s="347" t="s">
        <v>224</v>
      </c>
      <c r="G1176" s="339">
        <f>8047+115.5+13.1-162.5-7.8+478.8+300+50-100-80+14.5</f>
        <v>8668.6</v>
      </c>
      <c r="H1176" s="339">
        <v>8661.1859999999997</v>
      </c>
      <c r="I1176" s="321">
        <f t="shared" si="577"/>
        <v>99.914472925270516</v>
      </c>
    </row>
    <row r="1177" spans="1:9" ht="31.5" x14ac:dyDescent="0.25">
      <c r="A1177" s="349" t="s">
        <v>146</v>
      </c>
      <c r="B1177" s="346">
        <v>908</v>
      </c>
      <c r="C1177" s="347" t="s">
        <v>249</v>
      </c>
      <c r="D1177" s="347" t="s">
        <v>249</v>
      </c>
      <c r="E1177" s="347" t="s">
        <v>986</v>
      </c>
      <c r="F1177" s="347" t="s">
        <v>147</v>
      </c>
      <c r="G1177" s="321">
        <f>G1178</f>
        <v>2191.3000000000006</v>
      </c>
      <c r="H1177" s="321">
        <f t="shared" ref="H1177" si="587">H1178</f>
        <v>2160.0700000000002</v>
      </c>
      <c r="I1177" s="321">
        <f t="shared" si="577"/>
        <v>98.57481860083054</v>
      </c>
    </row>
    <row r="1178" spans="1:9" ht="31.5" x14ac:dyDescent="0.25">
      <c r="A1178" s="349" t="s">
        <v>148</v>
      </c>
      <c r="B1178" s="346">
        <v>908</v>
      </c>
      <c r="C1178" s="347" t="s">
        <v>249</v>
      </c>
      <c r="D1178" s="347" t="s">
        <v>249</v>
      </c>
      <c r="E1178" s="347" t="s">
        <v>986</v>
      </c>
      <c r="F1178" s="347" t="s">
        <v>149</v>
      </c>
      <c r="G1178" s="339">
        <f>1312+280.9+150-120-40+348.2+304.1+26.5+3.8-29.2+40.4-4-21.4-60+5.5-5.5</f>
        <v>2191.3000000000006</v>
      </c>
      <c r="H1178" s="339">
        <v>2160.0700000000002</v>
      </c>
      <c r="I1178" s="321">
        <f t="shared" si="577"/>
        <v>98.57481860083054</v>
      </c>
    </row>
    <row r="1179" spans="1:9" s="211" customFormat="1" ht="31.5" x14ac:dyDescent="0.25">
      <c r="A1179" s="349" t="s">
        <v>883</v>
      </c>
      <c r="B1179" s="346">
        <v>908</v>
      </c>
      <c r="C1179" s="347" t="s">
        <v>249</v>
      </c>
      <c r="D1179" s="347" t="s">
        <v>249</v>
      </c>
      <c r="E1179" s="347" t="s">
        <v>987</v>
      </c>
      <c r="F1179" s="347"/>
      <c r="G1179" s="321">
        <f>G1180</f>
        <v>173</v>
      </c>
      <c r="H1179" s="321">
        <f t="shared" ref="H1179:H1180" si="588">H1180</f>
        <v>172.11500000000001</v>
      </c>
      <c r="I1179" s="321">
        <f t="shared" si="577"/>
        <v>99.488439306358387</v>
      </c>
    </row>
    <row r="1180" spans="1:9" s="211" customFormat="1" ht="78.75" x14ac:dyDescent="0.25">
      <c r="A1180" s="349" t="s">
        <v>142</v>
      </c>
      <c r="B1180" s="346">
        <v>908</v>
      </c>
      <c r="C1180" s="347" t="s">
        <v>249</v>
      </c>
      <c r="D1180" s="347" t="s">
        <v>249</v>
      </c>
      <c r="E1180" s="347" t="s">
        <v>987</v>
      </c>
      <c r="F1180" s="347" t="s">
        <v>143</v>
      </c>
      <c r="G1180" s="321">
        <f>G1181</f>
        <v>173</v>
      </c>
      <c r="H1180" s="321">
        <f t="shared" si="588"/>
        <v>172.11500000000001</v>
      </c>
      <c r="I1180" s="321">
        <f t="shared" si="577"/>
        <v>99.488439306358387</v>
      </c>
    </row>
    <row r="1181" spans="1:9" s="211" customFormat="1" ht="15.75" x14ac:dyDescent="0.25">
      <c r="A1181" s="349" t="s">
        <v>357</v>
      </c>
      <c r="B1181" s="346">
        <v>908</v>
      </c>
      <c r="C1181" s="347" t="s">
        <v>249</v>
      </c>
      <c r="D1181" s="347" t="s">
        <v>249</v>
      </c>
      <c r="E1181" s="347" t="s">
        <v>987</v>
      </c>
      <c r="F1181" s="347" t="s">
        <v>224</v>
      </c>
      <c r="G1181" s="321">
        <f>420-13.1-280.9+3+44+14.7-14.7</f>
        <v>173</v>
      </c>
      <c r="H1181" s="321">
        <v>172.11500000000001</v>
      </c>
      <c r="I1181" s="321">
        <f t="shared" si="577"/>
        <v>99.488439306358387</v>
      </c>
    </row>
    <row r="1182" spans="1:9" s="211" customFormat="1" ht="47.25" x14ac:dyDescent="0.25">
      <c r="A1182" s="34" t="s">
        <v>803</v>
      </c>
      <c r="B1182" s="315">
        <v>908</v>
      </c>
      <c r="C1182" s="319" t="s">
        <v>249</v>
      </c>
      <c r="D1182" s="319" t="s">
        <v>249</v>
      </c>
      <c r="E1182" s="319" t="s">
        <v>339</v>
      </c>
      <c r="F1182" s="319"/>
      <c r="G1182" s="317">
        <f>G1183</f>
        <v>8.1000000000000014</v>
      </c>
      <c r="H1182" s="317">
        <f t="shared" ref="H1182:H1185" si="589">H1183</f>
        <v>8</v>
      </c>
      <c r="I1182" s="317">
        <f t="shared" si="577"/>
        <v>98.765432098765416</v>
      </c>
    </row>
    <row r="1183" spans="1:9" s="211" customFormat="1" ht="63" x14ac:dyDescent="0.25">
      <c r="A1183" s="34" t="s">
        <v>1160</v>
      </c>
      <c r="B1183" s="315">
        <v>908</v>
      </c>
      <c r="C1183" s="319" t="s">
        <v>249</v>
      </c>
      <c r="D1183" s="319" t="s">
        <v>249</v>
      </c>
      <c r="E1183" s="319" t="s">
        <v>1023</v>
      </c>
      <c r="F1183" s="319"/>
      <c r="G1183" s="317">
        <f>G1184</f>
        <v>8.1000000000000014</v>
      </c>
      <c r="H1183" s="317">
        <f t="shared" si="589"/>
        <v>8</v>
      </c>
      <c r="I1183" s="317">
        <f t="shared" si="577"/>
        <v>98.765432098765416</v>
      </c>
    </row>
    <row r="1184" spans="1:9" s="211" customFormat="1" ht="47.25" x14ac:dyDescent="0.25">
      <c r="A1184" s="31" t="s">
        <v>1271</v>
      </c>
      <c r="B1184" s="346">
        <v>908</v>
      </c>
      <c r="C1184" s="347" t="s">
        <v>249</v>
      </c>
      <c r="D1184" s="347" t="s">
        <v>249</v>
      </c>
      <c r="E1184" s="347" t="s">
        <v>1190</v>
      </c>
      <c r="F1184" s="347"/>
      <c r="G1184" s="321">
        <f>G1185</f>
        <v>8.1000000000000014</v>
      </c>
      <c r="H1184" s="321">
        <f t="shared" si="589"/>
        <v>8</v>
      </c>
      <c r="I1184" s="321">
        <f t="shared" si="577"/>
        <v>98.765432098765416</v>
      </c>
    </row>
    <row r="1185" spans="1:9" s="211" customFormat="1" ht="31.5" x14ac:dyDescent="0.25">
      <c r="A1185" s="349" t="s">
        <v>146</v>
      </c>
      <c r="B1185" s="346">
        <v>908</v>
      </c>
      <c r="C1185" s="347" t="s">
        <v>249</v>
      </c>
      <c r="D1185" s="347" t="s">
        <v>249</v>
      </c>
      <c r="E1185" s="347" t="s">
        <v>1190</v>
      </c>
      <c r="F1185" s="347" t="s">
        <v>147</v>
      </c>
      <c r="G1185" s="321">
        <f>G1186</f>
        <v>8.1000000000000014</v>
      </c>
      <c r="H1185" s="321">
        <f t="shared" si="589"/>
        <v>8</v>
      </c>
      <c r="I1185" s="321">
        <f t="shared" si="577"/>
        <v>98.765432098765416</v>
      </c>
    </row>
    <row r="1186" spans="1:9" s="211" customFormat="1" ht="31.5" x14ac:dyDescent="0.25">
      <c r="A1186" s="349" t="s">
        <v>148</v>
      </c>
      <c r="B1186" s="346">
        <v>908</v>
      </c>
      <c r="C1186" s="347" t="s">
        <v>249</v>
      </c>
      <c r="D1186" s="347" t="s">
        <v>249</v>
      </c>
      <c r="E1186" s="347" t="s">
        <v>1190</v>
      </c>
      <c r="F1186" s="347" t="s">
        <v>149</v>
      </c>
      <c r="G1186" s="321">
        <f>57-48.9</f>
        <v>8.1000000000000014</v>
      </c>
      <c r="H1186" s="321">
        <v>8</v>
      </c>
      <c r="I1186" s="321">
        <f t="shared" si="577"/>
        <v>98.765432098765416</v>
      </c>
    </row>
    <row r="1187" spans="1:9" ht="15.75" hidden="1" x14ac:dyDescent="0.25">
      <c r="A1187" s="318" t="s">
        <v>258</v>
      </c>
      <c r="B1187" s="315">
        <v>908</v>
      </c>
      <c r="C1187" s="319" t="s">
        <v>259</v>
      </c>
      <c r="D1187" s="319"/>
      <c r="E1187" s="319"/>
      <c r="F1187" s="319"/>
      <c r="G1187" s="317">
        <f t="shared" ref="G1187:G1188" si="590">G1188</f>
        <v>0</v>
      </c>
      <c r="H1187" s="317">
        <f t="shared" ref="H1187:H1193" si="591">H1188</f>
        <v>0</v>
      </c>
      <c r="I1187" s="321" t="e">
        <f t="shared" si="577"/>
        <v>#DIV/0!</v>
      </c>
    </row>
    <row r="1188" spans="1:9" ht="15.75" hidden="1" x14ac:dyDescent="0.25">
      <c r="A1188" s="318" t="s">
        <v>273</v>
      </c>
      <c r="B1188" s="315">
        <v>908</v>
      </c>
      <c r="C1188" s="319" t="s">
        <v>259</v>
      </c>
      <c r="D1188" s="319" t="s">
        <v>135</v>
      </c>
      <c r="E1188" s="319"/>
      <c r="F1188" s="319"/>
      <c r="G1188" s="317">
        <f t="shared" si="590"/>
        <v>0</v>
      </c>
      <c r="H1188" s="317">
        <f t="shared" si="591"/>
        <v>0</v>
      </c>
      <c r="I1188" s="321" t="e">
        <f t="shared" si="577"/>
        <v>#DIV/0!</v>
      </c>
    </row>
    <row r="1189" spans="1:9" ht="15.75" hidden="1" x14ac:dyDescent="0.25">
      <c r="A1189" s="318" t="s">
        <v>156</v>
      </c>
      <c r="B1189" s="315">
        <v>908</v>
      </c>
      <c r="C1189" s="319" t="s">
        <v>259</v>
      </c>
      <c r="D1189" s="319" t="s">
        <v>135</v>
      </c>
      <c r="E1189" s="319" t="s">
        <v>910</v>
      </c>
      <c r="F1189" s="319"/>
      <c r="G1189" s="317">
        <f>G1190</f>
        <v>0</v>
      </c>
      <c r="H1189" s="317">
        <f t="shared" si="591"/>
        <v>0</v>
      </c>
      <c r="I1189" s="321" t="e">
        <f t="shared" si="577"/>
        <v>#DIV/0!</v>
      </c>
    </row>
    <row r="1190" spans="1:9" ht="15.75" hidden="1" x14ac:dyDescent="0.25">
      <c r="A1190" s="318" t="s">
        <v>156</v>
      </c>
      <c r="B1190" s="315">
        <v>908</v>
      </c>
      <c r="C1190" s="319" t="s">
        <v>259</v>
      </c>
      <c r="D1190" s="319" t="s">
        <v>135</v>
      </c>
      <c r="E1190" s="319" t="s">
        <v>909</v>
      </c>
      <c r="F1190" s="319"/>
      <c r="G1190" s="317">
        <f>G1191</f>
        <v>0</v>
      </c>
      <c r="H1190" s="317">
        <f t="shared" si="591"/>
        <v>0</v>
      </c>
      <c r="I1190" s="321" t="e">
        <f t="shared" si="577"/>
        <v>#DIV/0!</v>
      </c>
    </row>
    <row r="1191" spans="1:9" ht="31.5" hidden="1" x14ac:dyDescent="0.25">
      <c r="A1191" s="318" t="s">
        <v>914</v>
      </c>
      <c r="B1191" s="315">
        <v>908</v>
      </c>
      <c r="C1191" s="319" t="s">
        <v>259</v>
      </c>
      <c r="D1191" s="319" t="s">
        <v>135</v>
      </c>
      <c r="E1191" s="319" t="s">
        <v>909</v>
      </c>
      <c r="F1191" s="319"/>
      <c r="G1191" s="317">
        <f>G1192</f>
        <v>0</v>
      </c>
      <c r="H1191" s="317">
        <f t="shared" si="591"/>
        <v>0</v>
      </c>
      <c r="I1191" s="321" t="e">
        <f t="shared" si="577"/>
        <v>#DIV/0!</v>
      </c>
    </row>
    <row r="1192" spans="1:9" ht="15.75" hidden="1" x14ac:dyDescent="0.25">
      <c r="A1192" s="349" t="s">
        <v>587</v>
      </c>
      <c r="B1192" s="346">
        <v>908</v>
      </c>
      <c r="C1192" s="347" t="s">
        <v>259</v>
      </c>
      <c r="D1192" s="347" t="s">
        <v>135</v>
      </c>
      <c r="E1192" s="347" t="s">
        <v>1131</v>
      </c>
      <c r="F1192" s="347"/>
      <c r="G1192" s="321">
        <f>G1193</f>
        <v>0</v>
      </c>
      <c r="H1192" s="321">
        <f t="shared" si="591"/>
        <v>0</v>
      </c>
      <c r="I1192" s="321" t="e">
        <f t="shared" si="577"/>
        <v>#DIV/0!</v>
      </c>
    </row>
    <row r="1193" spans="1:9" ht="31.5" hidden="1" x14ac:dyDescent="0.25">
      <c r="A1193" s="349" t="s">
        <v>146</v>
      </c>
      <c r="B1193" s="346">
        <v>908</v>
      </c>
      <c r="C1193" s="347" t="s">
        <v>259</v>
      </c>
      <c r="D1193" s="347" t="s">
        <v>135</v>
      </c>
      <c r="E1193" s="347" t="s">
        <v>1131</v>
      </c>
      <c r="F1193" s="347" t="s">
        <v>147</v>
      </c>
      <c r="G1193" s="321">
        <f>G1194</f>
        <v>0</v>
      </c>
      <c r="H1193" s="321">
        <f t="shared" si="591"/>
        <v>0</v>
      </c>
      <c r="I1193" s="321" t="e">
        <f t="shared" si="577"/>
        <v>#DIV/0!</v>
      </c>
    </row>
    <row r="1194" spans="1:9" ht="31.5" hidden="1" x14ac:dyDescent="0.25">
      <c r="A1194" s="349" t="s">
        <v>148</v>
      </c>
      <c r="B1194" s="346">
        <v>908</v>
      </c>
      <c r="C1194" s="347" t="s">
        <v>259</v>
      </c>
      <c r="D1194" s="347" t="s">
        <v>135</v>
      </c>
      <c r="E1194" s="347" t="s">
        <v>1131</v>
      </c>
      <c r="F1194" s="347" t="s">
        <v>149</v>
      </c>
      <c r="G1194" s="321">
        <f>87+27.6-50-50-14.6</f>
        <v>0</v>
      </c>
      <c r="H1194" s="321">
        <f t="shared" ref="H1194" si="592">87+27.6-50-50-14.6</f>
        <v>0</v>
      </c>
      <c r="I1194" s="321" t="e">
        <f t="shared" si="577"/>
        <v>#DIV/0!</v>
      </c>
    </row>
    <row r="1195" spans="1:9" ht="33" customHeight="1" x14ac:dyDescent="0.25">
      <c r="A1195" s="315" t="s">
        <v>589</v>
      </c>
      <c r="B1195" s="315">
        <v>910</v>
      </c>
      <c r="C1195" s="47"/>
      <c r="D1195" s="47"/>
      <c r="E1195" s="47"/>
      <c r="F1195" s="47"/>
      <c r="G1195" s="317">
        <f>G1196</f>
        <v>7978.7886500000004</v>
      </c>
      <c r="H1195" s="317">
        <f t="shared" ref="H1195" si="593">H1196</f>
        <v>7966.9595000000008</v>
      </c>
      <c r="I1195" s="317">
        <f t="shared" si="577"/>
        <v>99.851742532370508</v>
      </c>
    </row>
    <row r="1196" spans="1:9" ht="15.75" x14ac:dyDescent="0.25">
      <c r="A1196" s="318" t="s">
        <v>132</v>
      </c>
      <c r="B1196" s="315">
        <v>910</v>
      </c>
      <c r="C1196" s="319" t="s">
        <v>133</v>
      </c>
      <c r="D1196" s="319"/>
      <c r="E1196" s="319"/>
      <c r="F1196" s="319"/>
      <c r="G1196" s="317">
        <f>G1197+G1219+G1230</f>
        <v>7978.7886500000004</v>
      </c>
      <c r="H1196" s="317">
        <f t="shared" ref="H1196" si="594">H1197+H1219+H1230</f>
        <v>7966.9595000000008</v>
      </c>
      <c r="I1196" s="317">
        <f t="shared" si="577"/>
        <v>99.851742532370508</v>
      </c>
    </row>
    <row r="1197" spans="1:9" ht="46.15" customHeight="1" x14ac:dyDescent="0.25">
      <c r="A1197" s="318" t="s">
        <v>590</v>
      </c>
      <c r="B1197" s="315">
        <v>910</v>
      </c>
      <c r="C1197" s="319" t="s">
        <v>133</v>
      </c>
      <c r="D1197" s="319" t="s">
        <v>228</v>
      </c>
      <c r="E1197" s="319"/>
      <c r="F1197" s="319"/>
      <c r="G1197" s="317">
        <f>G1198+G1211</f>
        <v>4864.3739000000005</v>
      </c>
      <c r="H1197" s="317">
        <f t="shared" ref="H1197" si="595">H1198+H1211</f>
        <v>4856.6630000000005</v>
      </c>
      <c r="I1197" s="317">
        <f t="shared" si="577"/>
        <v>99.841482168959089</v>
      </c>
    </row>
    <row r="1198" spans="1:9" ht="31.5" x14ac:dyDescent="0.25">
      <c r="A1198" s="318" t="s">
        <v>988</v>
      </c>
      <c r="B1198" s="315">
        <v>910</v>
      </c>
      <c r="C1198" s="319" t="s">
        <v>133</v>
      </c>
      <c r="D1198" s="319" t="s">
        <v>228</v>
      </c>
      <c r="E1198" s="319" t="s">
        <v>902</v>
      </c>
      <c r="F1198" s="319"/>
      <c r="G1198" s="317">
        <f>G1199</f>
        <v>4849.3739000000005</v>
      </c>
      <c r="H1198" s="317">
        <f t="shared" ref="H1198" si="596">H1199</f>
        <v>4841.6630000000005</v>
      </c>
      <c r="I1198" s="317">
        <f t="shared" si="577"/>
        <v>99.840991844328613</v>
      </c>
    </row>
    <row r="1199" spans="1:9" ht="15.75" x14ac:dyDescent="0.25">
      <c r="A1199" s="318" t="s">
        <v>1132</v>
      </c>
      <c r="B1199" s="315">
        <v>910</v>
      </c>
      <c r="C1199" s="319" t="s">
        <v>133</v>
      </c>
      <c r="D1199" s="319" t="s">
        <v>228</v>
      </c>
      <c r="E1199" s="319" t="s">
        <v>1133</v>
      </c>
      <c r="F1199" s="319"/>
      <c r="G1199" s="317">
        <f>G1200+G1205+G1208</f>
        <v>4849.3739000000005</v>
      </c>
      <c r="H1199" s="317">
        <f t="shared" ref="H1199" si="597">H1200+H1205+H1208</f>
        <v>4841.6630000000005</v>
      </c>
      <c r="I1199" s="317">
        <f t="shared" si="577"/>
        <v>99.840991844328613</v>
      </c>
    </row>
    <row r="1200" spans="1:9" ht="31.5" x14ac:dyDescent="0.25">
      <c r="A1200" s="349" t="s">
        <v>591</v>
      </c>
      <c r="B1200" s="346">
        <v>910</v>
      </c>
      <c r="C1200" s="347" t="s">
        <v>133</v>
      </c>
      <c r="D1200" s="347" t="s">
        <v>228</v>
      </c>
      <c r="E1200" s="347" t="s">
        <v>1134</v>
      </c>
      <c r="F1200" s="347"/>
      <c r="G1200" s="321">
        <f>G1201+G1203</f>
        <v>4728.4040000000005</v>
      </c>
      <c r="H1200" s="321">
        <f t="shared" ref="H1200" si="598">H1201+H1203</f>
        <v>4720.6940000000004</v>
      </c>
      <c r="I1200" s="321">
        <f t="shared" si="577"/>
        <v>99.836942866980067</v>
      </c>
    </row>
    <row r="1201" spans="1:9" ht="78.75" x14ac:dyDescent="0.25">
      <c r="A1201" s="349" t="s">
        <v>142</v>
      </c>
      <c r="B1201" s="346">
        <v>910</v>
      </c>
      <c r="C1201" s="347" t="s">
        <v>133</v>
      </c>
      <c r="D1201" s="347" t="s">
        <v>228</v>
      </c>
      <c r="E1201" s="347" t="s">
        <v>1134</v>
      </c>
      <c r="F1201" s="347" t="s">
        <v>143</v>
      </c>
      <c r="G1201" s="321">
        <f>G1202</f>
        <v>4728.4040000000005</v>
      </c>
      <c r="H1201" s="321">
        <f t="shared" ref="H1201" si="599">H1202</f>
        <v>4720.6940000000004</v>
      </c>
      <c r="I1201" s="321">
        <f t="shared" si="577"/>
        <v>99.836942866980067</v>
      </c>
    </row>
    <row r="1202" spans="1:9" ht="31.5" x14ac:dyDescent="0.25">
      <c r="A1202" s="349" t="s">
        <v>144</v>
      </c>
      <c r="B1202" s="346">
        <v>910</v>
      </c>
      <c r="C1202" s="347" t="s">
        <v>133</v>
      </c>
      <c r="D1202" s="347" t="s">
        <v>228</v>
      </c>
      <c r="E1202" s="347" t="s">
        <v>1134</v>
      </c>
      <c r="F1202" s="347" t="s">
        <v>145</v>
      </c>
      <c r="G1202" s="339">
        <f>4111+42+85.7+55+37-4.5-61.79+24.915+48.475+362.1+14.4+14.104</f>
        <v>4728.4040000000005</v>
      </c>
      <c r="H1202" s="339">
        <v>4720.6940000000004</v>
      </c>
      <c r="I1202" s="321">
        <f t="shared" si="577"/>
        <v>99.836942866980067</v>
      </c>
    </row>
    <row r="1203" spans="1:9" ht="34.5" hidden="1" customHeight="1" x14ac:dyDescent="0.25">
      <c r="A1203" s="349" t="s">
        <v>213</v>
      </c>
      <c r="B1203" s="346">
        <v>910</v>
      </c>
      <c r="C1203" s="347" t="s">
        <v>133</v>
      </c>
      <c r="D1203" s="347" t="s">
        <v>228</v>
      </c>
      <c r="E1203" s="347" t="s">
        <v>1134</v>
      </c>
      <c r="F1203" s="347" t="s">
        <v>147</v>
      </c>
      <c r="G1203" s="321">
        <f>G1204</f>
        <v>0</v>
      </c>
      <c r="H1203" s="321">
        <f t="shared" ref="H1203" si="600">H1204</f>
        <v>0</v>
      </c>
      <c r="I1203" s="321" t="e">
        <f t="shared" si="577"/>
        <v>#DIV/0!</v>
      </c>
    </row>
    <row r="1204" spans="1:9" ht="30.2" hidden="1" customHeight="1" x14ac:dyDescent="0.25">
      <c r="A1204" s="349" t="s">
        <v>148</v>
      </c>
      <c r="B1204" s="346">
        <v>910</v>
      </c>
      <c r="C1204" s="347" t="s">
        <v>133</v>
      </c>
      <c r="D1204" s="347" t="s">
        <v>228</v>
      </c>
      <c r="E1204" s="347" t="s">
        <v>1134</v>
      </c>
      <c r="F1204" s="347" t="s">
        <v>149</v>
      </c>
      <c r="G1204" s="321">
        <f>21+69-90</f>
        <v>0</v>
      </c>
      <c r="H1204" s="321">
        <f t="shared" ref="H1204" si="601">21+69-90</f>
        <v>0</v>
      </c>
      <c r="I1204" s="321" t="e">
        <f t="shared" si="577"/>
        <v>#DIV/0!</v>
      </c>
    </row>
    <row r="1205" spans="1:9" s="211" customFormat="1" ht="30.2" hidden="1" customHeight="1" x14ac:dyDescent="0.25">
      <c r="A1205" s="349" t="s">
        <v>883</v>
      </c>
      <c r="B1205" s="346">
        <v>910</v>
      </c>
      <c r="C1205" s="347" t="s">
        <v>133</v>
      </c>
      <c r="D1205" s="347" t="s">
        <v>228</v>
      </c>
      <c r="E1205" s="347" t="s">
        <v>1135</v>
      </c>
      <c r="F1205" s="347"/>
      <c r="G1205" s="321">
        <f>G1206</f>
        <v>0</v>
      </c>
      <c r="H1205" s="321">
        <f t="shared" ref="H1205:H1206" si="602">H1206</f>
        <v>0</v>
      </c>
      <c r="I1205" s="321" t="e">
        <f t="shared" si="577"/>
        <v>#DIV/0!</v>
      </c>
    </row>
    <row r="1206" spans="1:9" s="211" customFormat="1" ht="30.2" hidden="1" customHeight="1" x14ac:dyDescent="0.25">
      <c r="A1206" s="349" t="s">
        <v>142</v>
      </c>
      <c r="B1206" s="346">
        <v>910</v>
      </c>
      <c r="C1206" s="347" t="s">
        <v>133</v>
      </c>
      <c r="D1206" s="347" t="s">
        <v>228</v>
      </c>
      <c r="E1206" s="347" t="s">
        <v>1135</v>
      </c>
      <c r="F1206" s="347" t="s">
        <v>143</v>
      </c>
      <c r="G1206" s="321">
        <f>G1207</f>
        <v>0</v>
      </c>
      <c r="H1206" s="321">
        <f t="shared" si="602"/>
        <v>0</v>
      </c>
      <c r="I1206" s="321" t="e">
        <f t="shared" si="577"/>
        <v>#DIV/0!</v>
      </c>
    </row>
    <row r="1207" spans="1:9" s="211" customFormat="1" ht="30.2" hidden="1" customHeight="1" x14ac:dyDescent="0.25">
      <c r="A1207" s="349" t="s">
        <v>144</v>
      </c>
      <c r="B1207" s="346">
        <v>910</v>
      </c>
      <c r="C1207" s="347" t="s">
        <v>133</v>
      </c>
      <c r="D1207" s="347" t="s">
        <v>228</v>
      </c>
      <c r="E1207" s="347" t="s">
        <v>1135</v>
      </c>
      <c r="F1207" s="347" t="s">
        <v>145</v>
      </c>
      <c r="G1207" s="321">
        <f>42-42</f>
        <v>0</v>
      </c>
      <c r="H1207" s="321">
        <f t="shared" ref="H1207" si="603">42-42</f>
        <v>0</v>
      </c>
      <c r="I1207" s="321" t="e">
        <f t="shared" si="577"/>
        <v>#DIV/0!</v>
      </c>
    </row>
    <row r="1208" spans="1:9" s="310" customFormat="1" ht="30.2" customHeight="1" x14ac:dyDescent="0.25">
      <c r="A1208" s="349" t="s">
        <v>1582</v>
      </c>
      <c r="B1208" s="346">
        <v>910</v>
      </c>
      <c r="C1208" s="347" t="s">
        <v>133</v>
      </c>
      <c r="D1208" s="347" t="s">
        <v>228</v>
      </c>
      <c r="E1208" s="347" t="s">
        <v>1586</v>
      </c>
      <c r="F1208" s="347"/>
      <c r="G1208" s="321">
        <f>G1209</f>
        <v>120.9699</v>
      </c>
      <c r="H1208" s="321">
        <f t="shared" ref="H1208:H1209" si="604">H1209</f>
        <v>120.96899999999999</v>
      </c>
      <c r="I1208" s="321">
        <f t="shared" si="577"/>
        <v>99.999256013272714</v>
      </c>
    </row>
    <row r="1209" spans="1:9" s="310" customFormat="1" ht="30.2" customHeight="1" x14ac:dyDescent="0.25">
      <c r="A1209" s="349" t="s">
        <v>142</v>
      </c>
      <c r="B1209" s="346">
        <v>910</v>
      </c>
      <c r="C1209" s="347" t="s">
        <v>133</v>
      </c>
      <c r="D1209" s="347" t="s">
        <v>228</v>
      </c>
      <c r="E1209" s="347" t="s">
        <v>1586</v>
      </c>
      <c r="F1209" s="347" t="s">
        <v>143</v>
      </c>
      <c r="G1209" s="321">
        <f>G1210</f>
        <v>120.9699</v>
      </c>
      <c r="H1209" s="321">
        <f t="shared" si="604"/>
        <v>120.96899999999999</v>
      </c>
      <c r="I1209" s="321">
        <f t="shared" si="577"/>
        <v>99.999256013272714</v>
      </c>
    </row>
    <row r="1210" spans="1:9" s="310" customFormat="1" ht="30.2" customHeight="1" x14ac:dyDescent="0.25">
      <c r="A1210" s="349" t="s">
        <v>144</v>
      </c>
      <c r="B1210" s="346">
        <v>910</v>
      </c>
      <c r="C1210" s="347" t="s">
        <v>133</v>
      </c>
      <c r="D1210" s="347" t="s">
        <v>228</v>
      </c>
      <c r="E1210" s="347" t="s">
        <v>1586</v>
      </c>
      <c r="F1210" s="347" t="s">
        <v>145</v>
      </c>
      <c r="G1210" s="321">
        <f>120.9699</f>
        <v>120.9699</v>
      </c>
      <c r="H1210" s="321">
        <v>120.96899999999999</v>
      </c>
      <c r="I1210" s="321">
        <f t="shared" si="577"/>
        <v>99.999256013272714</v>
      </c>
    </row>
    <row r="1211" spans="1:9" s="211" customFormat="1" ht="44.1" customHeight="1" x14ac:dyDescent="0.25">
      <c r="A1211" s="318" t="s">
        <v>1141</v>
      </c>
      <c r="B1211" s="315">
        <v>910</v>
      </c>
      <c r="C1211" s="319" t="s">
        <v>133</v>
      </c>
      <c r="D1211" s="319" t="s">
        <v>228</v>
      </c>
      <c r="E1211" s="319" t="s">
        <v>177</v>
      </c>
      <c r="F1211" s="319"/>
      <c r="G1211" s="317">
        <f>G1212</f>
        <v>15</v>
      </c>
      <c r="H1211" s="317">
        <f t="shared" ref="H1211" si="605">H1212</f>
        <v>15</v>
      </c>
      <c r="I1211" s="317">
        <f t="shared" si="577"/>
        <v>100</v>
      </c>
    </row>
    <row r="1212" spans="1:9" s="211" customFormat="1" ht="62.45" customHeight="1" x14ac:dyDescent="0.25">
      <c r="A1212" s="225" t="s">
        <v>887</v>
      </c>
      <c r="B1212" s="315">
        <v>910</v>
      </c>
      <c r="C1212" s="319" t="s">
        <v>133</v>
      </c>
      <c r="D1212" s="319" t="s">
        <v>228</v>
      </c>
      <c r="E1212" s="319" t="s">
        <v>894</v>
      </c>
      <c r="F1212" s="319"/>
      <c r="G1212" s="317">
        <f>G1213+G1216</f>
        <v>15</v>
      </c>
      <c r="H1212" s="317">
        <f t="shared" ref="H1212" si="606">H1213+H1216</f>
        <v>15</v>
      </c>
      <c r="I1212" s="317">
        <f t="shared" si="577"/>
        <v>100</v>
      </c>
    </row>
    <row r="1213" spans="1:9" s="211" customFormat="1" ht="53.1" customHeight="1" x14ac:dyDescent="0.25">
      <c r="A1213" s="31" t="s">
        <v>1293</v>
      </c>
      <c r="B1213" s="346">
        <v>910</v>
      </c>
      <c r="C1213" s="347" t="s">
        <v>133</v>
      </c>
      <c r="D1213" s="347" t="s">
        <v>228</v>
      </c>
      <c r="E1213" s="324" t="s">
        <v>1140</v>
      </c>
      <c r="F1213" s="347"/>
      <c r="G1213" s="321">
        <f>G1214</f>
        <v>1</v>
      </c>
      <c r="H1213" s="321">
        <f t="shared" ref="H1213:H1214" si="607">H1214</f>
        <v>1</v>
      </c>
      <c r="I1213" s="321">
        <f t="shared" si="577"/>
        <v>100</v>
      </c>
    </row>
    <row r="1214" spans="1:9" s="211" customFormat="1" ht="30.2" customHeight="1" x14ac:dyDescent="0.25">
      <c r="A1214" s="349" t="s">
        <v>146</v>
      </c>
      <c r="B1214" s="346">
        <v>910</v>
      </c>
      <c r="C1214" s="347" t="s">
        <v>133</v>
      </c>
      <c r="D1214" s="347" t="s">
        <v>228</v>
      </c>
      <c r="E1214" s="324" t="s">
        <v>1140</v>
      </c>
      <c r="F1214" s="347" t="s">
        <v>147</v>
      </c>
      <c r="G1214" s="321">
        <f>G1215</f>
        <v>1</v>
      </c>
      <c r="H1214" s="321">
        <f t="shared" si="607"/>
        <v>1</v>
      </c>
      <c r="I1214" s="321">
        <f t="shared" si="577"/>
        <v>100</v>
      </c>
    </row>
    <row r="1215" spans="1:9" s="211" customFormat="1" ht="30.2" customHeight="1" x14ac:dyDescent="0.25">
      <c r="A1215" s="349" t="s">
        <v>148</v>
      </c>
      <c r="B1215" s="346">
        <v>910</v>
      </c>
      <c r="C1215" s="347" t="s">
        <v>133</v>
      </c>
      <c r="D1215" s="347" t="s">
        <v>228</v>
      </c>
      <c r="E1215" s="324" t="s">
        <v>711</v>
      </c>
      <c r="F1215" s="347" t="s">
        <v>149</v>
      </c>
      <c r="G1215" s="321">
        <f>0.5+0.5</f>
        <v>1</v>
      </c>
      <c r="H1215" s="321">
        <v>1</v>
      </c>
      <c r="I1215" s="321">
        <f t="shared" si="577"/>
        <v>100</v>
      </c>
    </row>
    <row r="1216" spans="1:9" s="211" customFormat="1" ht="50.25" customHeight="1" x14ac:dyDescent="0.25">
      <c r="A1216" s="31" t="s">
        <v>710</v>
      </c>
      <c r="B1216" s="346">
        <v>910</v>
      </c>
      <c r="C1216" s="347" t="s">
        <v>133</v>
      </c>
      <c r="D1216" s="347" t="s">
        <v>228</v>
      </c>
      <c r="E1216" s="347" t="s">
        <v>1139</v>
      </c>
      <c r="F1216" s="347"/>
      <c r="G1216" s="321">
        <f>G1217</f>
        <v>14</v>
      </c>
      <c r="H1216" s="321">
        <f t="shared" ref="H1216:H1217" si="608">H1217</f>
        <v>14</v>
      </c>
      <c r="I1216" s="321">
        <f t="shared" si="577"/>
        <v>100</v>
      </c>
    </row>
    <row r="1217" spans="1:9" s="211" customFormat="1" ht="30.2" customHeight="1" x14ac:dyDescent="0.25">
      <c r="A1217" s="349" t="s">
        <v>146</v>
      </c>
      <c r="B1217" s="346">
        <v>910</v>
      </c>
      <c r="C1217" s="347" t="s">
        <v>133</v>
      </c>
      <c r="D1217" s="347" t="s">
        <v>228</v>
      </c>
      <c r="E1217" s="347" t="s">
        <v>1139</v>
      </c>
      <c r="F1217" s="347" t="s">
        <v>147</v>
      </c>
      <c r="G1217" s="321">
        <f>G1218</f>
        <v>14</v>
      </c>
      <c r="H1217" s="321">
        <f t="shared" si="608"/>
        <v>14</v>
      </c>
      <c r="I1217" s="321">
        <f t="shared" si="577"/>
        <v>100</v>
      </c>
    </row>
    <row r="1218" spans="1:9" s="211" customFormat="1" ht="30.2" customHeight="1" x14ac:dyDescent="0.25">
      <c r="A1218" s="349" t="s">
        <v>148</v>
      </c>
      <c r="B1218" s="346">
        <v>910</v>
      </c>
      <c r="C1218" s="347" t="s">
        <v>133</v>
      </c>
      <c r="D1218" s="347" t="s">
        <v>228</v>
      </c>
      <c r="E1218" s="347" t="s">
        <v>1139</v>
      </c>
      <c r="F1218" s="347" t="s">
        <v>149</v>
      </c>
      <c r="G1218" s="321">
        <f>40-40+25-11</f>
        <v>14</v>
      </c>
      <c r="H1218" s="321">
        <v>14</v>
      </c>
      <c r="I1218" s="321">
        <f t="shared" si="577"/>
        <v>100</v>
      </c>
    </row>
    <row r="1219" spans="1:9" ht="47.25" customHeight="1" x14ac:dyDescent="0.25">
      <c r="A1219" s="318" t="s">
        <v>593</v>
      </c>
      <c r="B1219" s="315">
        <v>910</v>
      </c>
      <c r="C1219" s="319" t="s">
        <v>133</v>
      </c>
      <c r="D1219" s="319" t="s">
        <v>230</v>
      </c>
      <c r="E1219" s="319"/>
      <c r="F1219" s="319"/>
      <c r="G1219" s="317">
        <f>G1220</f>
        <v>1278.896</v>
      </c>
      <c r="H1219" s="317">
        <f t="shared" ref="H1219:H1220" si="609">H1220</f>
        <v>1278.1580000000001</v>
      </c>
      <c r="I1219" s="317">
        <f t="shared" si="577"/>
        <v>99.942293978556521</v>
      </c>
    </row>
    <row r="1220" spans="1:9" ht="31.5" x14ac:dyDescent="0.25">
      <c r="A1220" s="318" t="s">
        <v>988</v>
      </c>
      <c r="B1220" s="315">
        <v>910</v>
      </c>
      <c r="C1220" s="319" t="s">
        <v>133</v>
      </c>
      <c r="D1220" s="319" t="s">
        <v>230</v>
      </c>
      <c r="E1220" s="319" t="s">
        <v>902</v>
      </c>
      <c r="F1220" s="319"/>
      <c r="G1220" s="317">
        <f>G1221</f>
        <v>1278.896</v>
      </c>
      <c r="H1220" s="317">
        <f t="shared" si="609"/>
        <v>1278.1580000000001</v>
      </c>
      <c r="I1220" s="317">
        <f t="shared" si="577"/>
        <v>99.942293978556521</v>
      </c>
    </row>
    <row r="1221" spans="1:9" ht="15.75" x14ac:dyDescent="0.25">
      <c r="A1221" s="318" t="s">
        <v>1132</v>
      </c>
      <c r="B1221" s="315">
        <v>910</v>
      </c>
      <c r="C1221" s="319" t="s">
        <v>133</v>
      </c>
      <c r="D1221" s="319" t="s">
        <v>230</v>
      </c>
      <c r="E1221" s="319" t="s">
        <v>1133</v>
      </c>
      <c r="F1221" s="319"/>
      <c r="G1221" s="317">
        <f>G1222+G1227</f>
        <v>1278.896</v>
      </c>
      <c r="H1221" s="317">
        <f t="shared" ref="H1221" si="610">H1222+H1227</f>
        <v>1278.1580000000001</v>
      </c>
      <c r="I1221" s="317">
        <f t="shared" si="577"/>
        <v>99.942293978556521</v>
      </c>
    </row>
    <row r="1222" spans="1:9" ht="31.5" x14ac:dyDescent="0.25">
      <c r="A1222" s="349" t="s">
        <v>1136</v>
      </c>
      <c r="B1222" s="346">
        <v>910</v>
      </c>
      <c r="C1222" s="347" t="s">
        <v>133</v>
      </c>
      <c r="D1222" s="347" t="s">
        <v>230</v>
      </c>
      <c r="E1222" s="347" t="s">
        <v>1137</v>
      </c>
      <c r="F1222" s="347"/>
      <c r="G1222" s="321">
        <f>G1223+G1225</f>
        <v>1278.896</v>
      </c>
      <c r="H1222" s="321">
        <f t="shared" ref="H1222" si="611">H1223+H1225</f>
        <v>1278.1580000000001</v>
      </c>
      <c r="I1222" s="321">
        <f t="shared" si="577"/>
        <v>99.942293978556521</v>
      </c>
    </row>
    <row r="1223" spans="1:9" ht="78.75" x14ac:dyDescent="0.25">
      <c r="A1223" s="349" t="s">
        <v>142</v>
      </c>
      <c r="B1223" s="346">
        <v>910</v>
      </c>
      <c r="C1223" s="347" t="s">
        <v>133</v>
      </c>
      <c r="D1223" s="347" t="s">
        <v>230</v>
      </c>
      <c r="E1223" s="347" t="s">
        <v>1137</v>
      </c>
      <c r="F1223" s="347" t="s">
        <v>143</v>
      </c>
      <c r="G1223" s="321">
        <f>G1224</f>
        <v>1200</v>
      </c>
      <c r="H1223" s="321">
        <f t="shared" ref="H1223" si="612">H1224</f>
        <v>1199.2615000000001</v>
      </c>
      <c r="I1223" s="321">
        <f t="shared" si="577"/>
        <v>99.93845833333333</v>
      </c>
    </row>
    <row r="1224" spans="1:9" ht="31.5" x14ac:dyDescent="0.25">
      <c r="A1224" s="349" t="s">
        <v>144</v>
      </c>
      <c r="B1224" s="346">
        <v>910</v>
      </c>
      <c r="C1224" s="347" t="s">
        <v>133</v>
      </c>
      <c r="D1224" s="347" t="s">
        <v>230</v>
      </c>
      <c r="E1224" s="347" t="s">
        <v>1137</v>
      </c>
      <c r="F1224" s="347" t="s">
        <v>145</v>
      </c>
      <c r="G1224" s="321">
        <f>998+52+60+52+19+19</f>
        <v>1200</v>
      </c>
      <c r="H1224" s="321">
        <v>1199.2615000000001</v>
      </c>
      <c r="I1224" s="321">
        <f t="shared" si="577"/>
        <v>99.93845833333333</v>
      </c>
    </row>
    <row r="1225" spans="1:9" ht="31.5" x14ac:dyDescent="0.25">
      <c r="A1225" s="349" t="s">
        <v>213</v>
      </c>
      <c r="B1225" s="346">
        <v>910</v>
      </c>
      <c r="C1225" s="347" t="s">
        <v>133</v>
      </c>
      <c r="D1225" s="347" t="s">
        <v>230</v>
      </c>
      <c r="E1225" s="347" t="s">
        <v>1137</v>
      </c>
      <c r="F1225" s="347" t="s">
        <v>147</v>
      </c>
      <c r="G1225" s="321">
        <f>G1226</f>
        <v>78.896000000000001</v>
      </c>
      <c r="H1225" s="321">
        <f t="shared" ref="H1225" si="613">H1226</f>
        <v>78.896500000000003</v>
      </c>
      <c r="I1225" s="321">
        <f t="shared" ref="I1225:I1244" si="614">H1225/G1225*100</f>
        <v>100.00063374569052</v>
      </c>
    </row>
    <row r="1226" spans="1:9" ht="31.5" x14ac:dyDescent="0.25">
      <c r="A1226" s="349" t="s">
        <v>148</v>
      </c>
      <c r="B1226" s="346">
        <v>910</v>
      </c>
      <c r="C1226" s="347" t="s">
        <v>133</v>
      </c>
      <c r="D1226" s="347" t="s">
        <v>230</v>
      </c>
      <c r="E1226" s="347" t="s">
        <v>1137</v>
      </c>
      <c r="F1226" s="347" t="s">
        <v>149</v>
      </c>
      <c r="G1226" s="321">
        <f>93-14.104</f>
        <v>78.896000000000001</v>
      </c>
      <c r="H1226" s="321">
        <v>78.896500000000003</v>
      </c>
      <c r="I1226" s="321">
        <f t="shared" si="614"/>
        <v>100.00063374569052</v>
      </c>
    </row>
    <row r="1227" spans="1:9" s="211" customFormat="1" ht="39.75" hidden="1" customHeight="1" x14ac:dyDescent="0.25">
      <c r="A1227" s="349" t="s">
        <v>883</v>
      </c>
      <c r="B1227" s="346">
        <v>910</v>
      </c>
      <c r="C1227" s="347" t="s">
        <v>133</v>
      </c>
      <c r="D1227" s="347" t="s">
        <v>230</v>
      </c>
      <c r="E1227" s="347" t="s">
        <v>1135</v>
      </c>
      <c r="F1227" s="347"/>
      <c r="G1227" s="321">
        <f>G1228</f>
        <v>0</v>
      </c>
      <c r="H1227" s="321">
        <f t="shared" ref="H1227:H1228" si="615">H1228</f>
        <v>0</v>
      </c>
      <c r="I1227" s="321" t="e">
        <f t="shared" si="614"/>
        <v>#DIV/0!</v>
      </c>
    </row>
    <row r="1228" spans="1:9" s="211" customFormat="1" ht="69.75" hidden="1" customHeight="1" x14ac:dyDescent="0.25">
      <c r="A1228" s="349" t="s">
        <v>142</v>
      </c>
      <c r="B1228" s="346">
        <v>910</v>
      </c>
      <c r="C1228" s="347" t="s">
        <v>133</v>
      </c>
      <c r="D1228" s="347" t="s">
        <v>230</v>
      </c>
      <c r="E1228" s="347" t="s">
        <v>1135</v>
      </c>
      <c r="F1228" s="347" t="s">
        <v>143</v>
      </c>
      <c r="G1228" s="321">
        <f>G1229</f>
        <v>0</v>
      </c>
      <c r="H1228" s="321">
        <f t="shared" si="615"/>
        <v>0</v>
      </c>
      <c r="I1228" s="321" t="e">
        <f t="shared" si="614"/>
        <v>#DIV/0!</v>
      </c>
    </row>
    <row r="1229" spans="1:9" s="211" customFormat="1" ht="35.450000000000003" hidden="1" customHeight="1" x14ac:dyDescent="0.25">
      <c r="A1229" s="349" t="s">
        <v>144</v>
      </c>
      <c r="B1229" s="346">
        <v>910</v>
      </c>
      <c r="C1229" s="347" t="s">
        <v>133</v>
      </c>
      <c r="D1229" s="347" t="s">
        <v>230</v>
      </c>
      <c r="E1229" s="347" t="s">
        <v>1135</v>
      </c>
      <c r="F1229" s="347" t="s">
        <v>145</v>
      </c>
      <c r="G1229" s="321">
        <v>0</v>
      </c>
      <c r="H1229" s="321">
        <v>0</v>
      </c>
      <c r="I1229" s="321" t="e">
        <f t="shared" si="614"/>
        <v>#DIV/0!</v>
      </c>
    </row>
    <row r="1230" spans="1:9" ht="47.25" x14ac:dyDescent="0.25">
      <c r="A1230" s="318" t="s">
        <v>134</v>
      </c>
      <c r="B1230" s="315">
        <v>910</v>
      </c>
      <c r="C1230" s="319" t="s">
        <v>133</v>
      </c>
      <c r="D1230" s="319" t="s">
        <v>135</v>
      </c>
      <c r="E1230" s="319"/>
      <c r="F1230" s="319"/>
      <c r="G1230" s="317">
        <f>G1231</f>
        <v>1835.5187499999997</v>
      </c>
      <c r="H1230" s="317">
        <f t="shared" ref="H1230:H1231" si="616">H1231</f>
        <v>1832.1385</v>
      </c>
      <c r="I1230" s="317">
        <f t="shared" si="614"/>
        <v>99.815842251679541</v>
      </c>
    </row>
    <row r="1231" spans="1:9" s="112" customFormat="1" ht="31.5" x14ac:dyDescent="0.25">
      <c r="A1231" s="318" t="s">
        <v>988</v>
      </c>
      <c r="B1231" s="315">
        <v>910</v>
      </c>
      <c r="C1231" s="319" t="s">
        <v>133</v>
      </c>
      <c r="D1231" s="319" t="s">
        <v>135</v>
      </c>
      <c r="E1231" s="319" t="s">
        <v>902</v>
      </c>
      <c r="F1231" s="319"/>
      <c r="G1231" s="317">
        <f>G1232</f>
        <v>1835.5187499999997</v>
      </c>
      <c r="H1231" s="317">
        <f t="shared" si="616"/>
        <v>1832.1385</v>
      </c>
      <c r="I1231" s="317">
        <f t="shared" si="614"/>
        <v>99.815842251679541</v>
      </c>
    </row>
    <row r="1232" spans="1:9" s="112" customFormat="1" ht="15.75" x14ac:dyDescent="0.25">
      <c r="A1232" s="318" t="s">
        <v>1132</v>
      </c>
      <c r="B1232" s="315">
        <v>910</v>
      </c>
      <c r="C1232" s="319" t="s">
        <v>133</v>
      </c>
      <c r="D1232" s="319" t="s">
        <v>135</v>
      </c>
      <c r="E1232" s="319" t="s">
        <v>1133</v>
      </c>
      <c r="F1232" s="319"/>
      <c r="G1232" s="317">
        <f>G1233+G1238+G1241</f>
        <v>1835.5187499999997</v>
      </c>
      <c r="H1232" s="317">
        <f t="shared" ref="H1232" si="617">H1233+H1238+H1241</f>
        <v>1832.1385</v>
      </c>
      <c r="I1232" s="317">
        <f t="shared" si="614"/>
        <v>99.815842251679541</v>
      </c>
    </row>
    <row r="1233" spans="1:10" s="112" customFormat="1" ht="31.5" x14ac:dyDescent="0.25">
      <c r="A1233" s="349" t="s">
        <v>965</v>
      </c>
      <c r="B1233" s="346">
        <v>910</v>
      </c>
      <c r="C1233" s="347" t="s">
        <v>133</v>
      </c>
      <c r="D1233" s="347" t="s">
        <v>135</v>
      </c>
      <c r="E1233" s="347" t="s">
        <v>1137</v>
      </c>
      <c r="F1233" s="347"/>
      <c r="G1233" s="321">
        <f>G1234+G1236</f>
        <v>1821.9999999999998</v>
      </c>
      <c r="H1233" s="321">
        <f t="shared" ref="H1233" si="618">H1234+H1236</f>
        <v>1818.6189999999999</v>
      </c>
      <c r="I1233" s="321">
        <f t="shared" si="614"/>
        <v>99.814434687156989</v>
      </c>
    </row>
    <row r="1234" spans="1:10" ht="78.75" x14ac:dyDescent="0.25">
      <c r="A1234" s="349" t="s">
        <v>142</v>
      </c>
      <c r="B1234" s="346">
        <v>910</v>
      </c>
      <c r="C1234" s="347" t="s">
        <v>133</v>
      </c>
      <c r="D1234" s="347" t="s">
        <v>135</v>
      </c>
      <c r="E1234" s="347" t="s">
        <v>1137</v>
      </c>
      <c r="F1234" s="347" t="s">
        <v>143</v>
      </c>
      <c r="G1234" s="321">
        <f>G1235</f>
        <v>1821.9999999999998</v>
      </c>
      <c r="H1234" s="321">
        <f t="shared" ref="H1234" si="619">H1235</f>
        <v>1818.6189999999999</v>
      </c>
      <c r="I1234" s="321">
        <f t="shared" si="614"/>
        <v>99.814434687156989</v>
      </c>
    </row>
    <row r="1235" spans="1:10" ht="31.5" x14ac:dyDescent="0.25">
      <c r="A1235" s="349" t="s">
        <v>144</v>
      </c>
      <c r="B1235" s="346">
        <v>910</v>
      </c>
      <c r="C1235" s="347" t="s">
        <v>133</v>
      </c>
      <c r="D1235" s="347" t="s">
        <v>135</v>
      </c>
      <c r="E1235" s="347" t="s">
        <v>1137</v>
      </c>
      <c r="F1235" s="347" t="s">
        <v>145</v>
      </c>
      <c r="G1235" s="321">
        <f>1586+80+7.1+42+133-0.9-6.2-19</f>
        <v>1821.9999999999998</v>
      </c>
      <c r="H1235" s="321">
        <v>1818.6189999999999</v>
      </c>
      <c r="I1235" s="321">
        <f t="shared" si="614"/>
        <v>99.814434687156989</v>
      </c>
    </row>
    <row r="1236" spans="1:10" ht="31.5" hidden="1" x14ac:dyDescent="0.25">
      <c r="A1236" s="349" t="s">
        <v>213</v>
      </c>
      <c r="B1236" s="346">
        <v>910</v>
      </c>
      <c r="C1236" s="347" t="s">
        <v>133</v>
      </c>
      <c r="D1236" s="347" t="s">
        <v>135</v>
      </c>
      <c r="E1236" s="347" t="s">
        <v>1137</v>
      </c>
      <c r="F1236" s="347" t="s">
        <v>147</v>
      </c>
      <c r="G1236" s="321">
        <f>G1237</f>
        <v>0</v>
      </c>
      <c r="H1236" s="321">
        <f t="shared" ref="H1236" si="620">H1237</f>
        <v>0</v>
      </c>
      <c r="I1236" s="321" t="e">
        <f t="shared" si="614"/>
        <v>#DIV/0!</v>
      </c>
    </row>
    <row r="1237" spans="1:10" ht="31.5" hidden="1" x14ac:dyDescent="0.25">
      <c r="A1237" s="349" t="s">
        <v>148</v>
      </c>
      <c r="B1237" s="346">
        <v>910</v>
      </c>
      <c r="C1237" s="347" t="s">
        <v>133</v>
      </c>
      <c r="D1237" s="347" t="s">
        <v>135</v>
      </c>
      <c r="E1237" s="347" t="s">
        <v>1137</v>
      </c>
      <c r="F1237" s="347" t="s">
        <v>149</v>
      </c>
      <c r="G1237" s="321">
        <f>18-18</f>
        <v>0</v>
      </c>
      <c r="H1237" s="321">
        <f t="shared" ref="H1237" si="621">18-18</f>
        <v>0</v>
      </c>
      <c r="I1237" s="321" t="e">
        <f t="shared" si="614"/>
        <v>#DIV/0!</v>
      </c>
    </row>
    <row r="1238" spans="1:10" s="211" customFormat="1" ht="31.5" hidden="1" x14ac:dyDescent="0.25">
      <c r="A1238" s="349" t="s">
        <v>883</v>
      </c>
      <c r="B1238" s="346">
        <v>910</v>
      </c>
      <c r="C1238" s="347" t="s">
        <v>133</v>
      </c>
      <c r="D1238" s="347" t="s">
        <v>135</v>
      </c>
      <c r="E1238" s="347" t="s">
        <v>1135</v>
      </c>
      <c r="F1238" s="347"/>
      <c r="G1238" s="321">
        <f>G1239</f>
        <v>0</v>
      </c>
      <c r="H1238" s="321">
        <f t="shared" ref="H1238:H1239" si="622">H1239</f>
        <v>0</v>
      </c>
      <c r="I1238" s="321" t="e">
        <f t="shared" si="614"/>
        <v>#DIV/0!</v>
      </c>
    </row>
    <row r="1239" spans="1:10" s="211" customFormat="1" ht="78.75" hidden="1" x14ac:dyDescent="0.25">
      <c r="A1239" s="349" t="s">
        <v>142</v>
      </c>
      <c r="B1239" s="346">
        <v>910</v>
      </c>
      <c r="C1239" s="347" t="s">
        <v>133</v>
      </c>
      <c r="D1239" s="347" t="s">
        <v>135</v>
      </c>
      <c r="E1239" s="347" t="s">
        <v>1135</v>
      </c>
      <c r="F1239" s="347" t="s">
        <v>143</v>
      </c>
      <c r="G1239" s="321">
        <f>G1240</f>
        <v>0</v>
      </c>
      <c r="H1239" s="321">
        <f t="shared" si="622"/>
        <v>0</v>
      </c>
      <c r="I1239" s="321" t="e">
        <f t="shared" si="614"/>
        <v>#DIV/0!</v>
      </c>
    </row>
    <row r="1240" spans="1:10" s="211" customFormat="1" ht="31.5" hidden="1" x14ac:dyDescent="0.25">
      <c r="A1240" s="349" t="s">
        <v>144</v>
      </c>
      <c r="B1240" s="346">
        <v>910</v>
      </c>
      <c r="C1240" s="347" t="s">
        <v>133</v>
      </c>
      <c r="D1240" s="347" t="s">
        <v>135</v>
      </c>
      <c r="E1240" s="347" t="s">
        <v>1135</v>
      </c>
      <c r="F1240" s="347" t="s">
        <v>145</v>
      </c>
      <c r="G1240" s="321">
        <f>42-42</f>
        <v>0</v>
      </c>
      <c r="H1240" s="321">
        <f t="shared" ref="H1240" si="623">42-42</f>
        <v>0</v>
      </c>
      <c r="I1240" s="321" t="e">
        <f t="shared" si="614"/>
        <v>#DIV/0!</v>
      </c>
    </row>
    <row r="1241" spans="1:10" s="310" customFormat="1" ht="31.5" x14ac:dyDescent="0.25">
      <c r="A1241" s="349" t="s">
        <v>1582</v>
      </c>
      <c r="B1241" s="346">
        <v>910</v>
      </c>
      <c r="C1241" s="347" t="s">
        <v>133</v>
      </c>
      <c r="D1241" s="347" t="s">
        <v>135</v>
      </c>
      <c r="E1241" s="347" t="s">
        <v>1586</v>
      </c>
      <c r="F1241" s="347"/>
      <c r="G1241" s="321">
        <f>G1242</f>
        <v>13.518750000000001</v>
      </c>
      <c r="H1241" s="321">
        <f t="shared" ref="H1241:H1242" si="624">H1242</f>
        <v>13.519500000000001</v>
      </c>
      <c r="I1241" s="321">
        <f t="shared" si="614"/>
        <v>100.00554785020806</v>
      </c>
    </row>
    <row r="1242" spans="1:10" s="310" customFormat="1" ht="78.75" x14ac:dyDescent="0.25">
      <c r="A1242" s="349" t="s">
        <v>142</v>
      </c>
      <c r="B1242" s="346">
        <v>910</v>
      </c>
      <c r="C1242" s="347" t="s">
        <v>133</v>
      </c>
      <c r="D1242" s="347" t="s">
        <v>135</v>
      </c>
      <c r="E1242" s="347" t="s">
        <v>1586</v>
      </c>
      <c r="F1242" s="347" t="s">
        <v>143</v>
      </c>
      <c r="G1242" s="321">
        <f>G1243</f>
        <v>13.518750000000001</v>
      </c>
      <c r="H1242" s="321">
        <f t="shared" si="624"/>
        <v>13.519500000000001</v>
      </c>
      <c r="I1242" s="321">
        <f t="shared" si="614"/>
        <v>100.00554785020806</v>
      </c>
    </row>
    <row r="1243" spans="1:10" s="310" customFormat="1" ht="31.5" x14ac:dyDescent="0.25">
      <c r="A1243" s="349" t="s">
        <v>144</v>
      </c>
      <c r="B1243" s="346">
        <v>910</v>
      </c>
      <c r="C1243" s="347" t="s">
        <v>133</v>
      </c>
      <c r="D1243" s="347" t="s">
        <v>135</v>
      </c>
      <c r="E1243" s="347" t="s">
        <v>1586</v>
      </c>
      <c r="F1243" s="347" t="s">
        <v>145</v>
      </c>
      <c r="G1243" s="321">
        <f>13.51875</f>
        <v>13.518750000000001</v>
      </c>
      <c r="H1243" s="321">
        <v>13.519500000000001</v>
      </c>
      <c r="I1243" s="321">
        <f t="shared" si="614"/>
        <v>100.00554785020806</v>
      </c>
    </row>
    <row r="1244" spans="1:10" ht="15.75" x14ac:dyDescent="0.25">
      <c r="A1244" s="48" t="s">
        <v>602</v>
      </c>
      <c r="B1244" s="48"/>
      <c r="C1244" s="319"/>
      <c r="D1244" s="319"/>
      <c r="E1244" s="319"/>
      <c r="F1244" s="319"/>
      <c r="G1244" s="282">
        <f>G1195+G952+G849+G574+G522+G228+G27+G9</f>
        <v>782239.54439999978</v>
      </c>
      <c r="H1244" s="282">
        <f t="shared" ref="H1244" si="625">H1195+H952+H849+H574+H522+H228+H27+H9</f>
        <v>753289.39202999999</v>
      </c>
      <c r="I1244" s="317">
        <f t="shared" si="614"/>
        <v>96.299068159203657</v>
      </c>
    </row>
    <row r="1245" spans="1:10" hidden="1" x14ac:dyDescent="0.25">
      <c r="A1245" s="50"/>
      <c r="B1245" s="50"/>
      <c r="C1245" s="50"/>
      <c r="D1245" s="50"/>
      <c r="E1245" s="50"/>
      <c r="F1245" s="50"/>
      <c r="G1245" s="307"/>
      <c r="H1245" s="307"/>
      <c r="I1245" s="307"/>
    </row>
    <row r="1246" spans="1:10" ht="18.75" hidden="1" x14ac:dyDescent="0.3">
      <c r="A1246" s="50"/>
      <c r="B1246" s="50"/>
      <c r="C1246" s="51"/>
      <c r="D1246" s="51"/>
      <c r="E1246" s="51"/>
      <c r="F1246" s="308" t="s">
        <v>603</v>
      </c>
      <c r="G1246" s="358">
        <f>G1244-G1247</f>
        <v>484005.64256999979</v>
      </c>
      <c r="H1246" s="358">
        <f t="shared" ref="H1246:I1246" si="626">H1244-H1247</f>
        <v>478441.56789000001</v>
      </c>
      <c r="I1246" s="358" t="e">
        <f t="shared" si="626"/>
        <v>#DIV/0!</v>
      </c>
    </row>
    <row r="1247" spans="1:10" ht="18.75" hidden="1" x14ac:dyDescent="0.3">
      <c r="A1247" s="50"/>
      <c r="B1247" s="50"/>
      <c r="C1247" s="51"/>
      <c r="D1247" s="51"/>
      <c r="E1247" s="51"/>
      <c r="F1247" s="308" t="s">
        <v>604</v>
      </c>
      <c r="G1247" s="358">
        <f>G50+G184+G193+G222+G237+G275+G282+G322+G385+G417+G420+G476+G554+G596+G637+G670+G710+G717+G779+G816+G892+G1135+G1045+G289+G204+G95+G1216-28.9+G755+G644+G570+G540+G392-47.759-77.423+G899-39.56+G859+G909+G731+G754+G740+G747+G1044-81.05+G380</f>
        <v>298233.90182999999</v>
      </c>
      <c r="H1247" s="358">
        <f t="shared" ref="H1247:I1247" si="627">H50+H184+H193+H222+H237+H275+H282+H322+H385+H417+H420+H476+H554+H596+H637+H670+H710+H717+H779+H816+H892+H1135+H1045+H289+H204+H95+H1216-28.9+H755+H644+H570+H540+H392-47.759-77.423+H899-39.56+H859+H909+H731+H754+H740+H747+H1044-81.05+H380</f>
        <v>274847.82413999998</v>
      </c>
      <c r="I1247" s="358" t="e">
        <f t="shared" si="627"/>
        <v>#DIV/0!</v>
      </c>
      <c r="J1247" s="212"/>
    </row>
    <row r="1248" spans="1:10" ht="15.75" hidden="1" x14ac:dyDescent="0.25">
      <c r="A1248" s="50"/>
      <c r="B1248" s="50"/>
      <c r="C1248" s="51"/>
      <c r="D1248" s="53"/>
      <c r="E1248" s="53"/>
      <c r="F1248" s="53"/>
      <c r="G1248" s="103"/>
      <c r="H1248" s="103"/>
      <c r="I1248" s="103"/>
    </row>
    <row r="1249" spans="1:9" ht="15.75" hidden="1" x14ac:dyDescent="0.25">
      <c r="A1249" s="50"/>
      <c r="B1249" s="50"/>
      <c r="C1249" s="51"/>
      <c r="D1249" s="53"/>
      <c r="E1249" s="53"/>
      <c r="F1249" s="53"/>
      <c r="G1249" s="103"/>
      <c r="H1249" s="103"/>
      <c r="I1249" s="103"/>
    </row>
    <row r="1250" spans="1:9" ht="15.75" hidden="1" x14ac:dyDescent="0.25">
      <c r="A1250" s="50"/>
      <c r="B1250" s="50"/>
      <c r="C1250" s="51"/>
      <c r="D1250" s="53"/>
      <c r="E1250" s="53"/>
      <c r="F1250" s="53"/>
      <c r="G1250" s="103"/>
      <c r="H1250" s="103"/>
      <c r="I1250" s="103"/>
    </row>
    <row r="1251" spans="1:9" ht="15.75" hidden="1" x14ac:dyDescent="0.25">
      <c r="A1251" s="50"/>
      <c r="B1251" s="50"/>
      <c r="C1251" s="54">
        <v>1</v>
      </c>
      <c r="D1251" s="53"/>
      <c r="E1251" s="53"/>
      <c r="F1251" s="53"/>
      <c r="G1251" s="103">
        <f>G10+G28+G229+G523+G575+G953+G1196+G850</f>
        <v>146629.49855000002</v>
      </c>
      <c r="H1251" s="103">
        <f t="shared" ref="H1251:I1251" si="628">H10+H28+H229+H523+H575+H953+H1196+H850</f>
        <v>144317.08356000003</v>
      </c>
      <c r="I1251" s="103">
        <f t="shared" si="628"/>
        <v>694.64706113318596</v>
      </c>
    </row>
    <row r="1252" spans="1:9" ht="15.75" hidden="1" x14ac:dyDescent="0.25">
      <c r="A1252" s="50"/>
      <c r="B1252" s="50"/>
      <c r="C1252" s="54" t="s">
        <v>603</v>
      </c>
      <c r="D1252" s="53"/>
      <c r="E1252" s="53"/>
      <c r="F1252" s="53"/>
      <c r="G1252" s="103">
        <f>G1251-G1253</f>
        <v>143142.50855000003</v>
      </c>
      <c r="H1252" s="103">
        <f t="shared" ref="H1252:I1252" si="629">H1251-H1253</f>
        <v>141013.01445000002</v>
      </c>
      <c r="I1252" s="103" t="e">
        <f t="shared" si="629"/>
        <v>#DIV/0!</v>
      </c>
    </row>
    <row r="1253" spans="1:9" ht="15.75" hidden="1" x14ac:dyDescent="0.25">
      <c r="A1253" s="50"/>
      <c r="B1253" s="50"/>
      <c r="C1253" s="54" t="s">
        <v>604</v>
      </c>
      <c r="D1253" s="53"/>
      <c r="E1253" s="53"/>
      <c r="F1253" s="53"/>
      <c r="G1253" s="103">
        <f>G1216+G554+G237+G95+G50+G540</f>
        <v>3486.99</v>
      </c>
      <c r="H1253" s="103">
        <f t="shared" ref="H1253:I1253" si="630">H1216+H554+H237+H95+H50+H540</f>
        <v>3304.0691100000004</v>
      </c>
      <c r="I1253" s="103" t="e">
        <f t="shared" si="630"/>
        <v>#DIV/0!</v>
      </c>
    </row>
    <row r="1254" spans="1:9" ht="15.75" hidden="1" x14ac:dyDescent="0.25">
      <c r="A1254" s="50"/>
      <c r="B1254" s="50"/>
      <c r="C1254" s="54">
        <v>2</v>
      </c>
      <c r="D1254" s="53"/>
      <c r="E1254" s="53"/>
      <c r="F1254" s="53"/>
      <c r="G1254" s="103">
        <f>G151</f>
        <v>0</v>
      </c>
      <c r="H1254" s="103">
        <f t="shared" ref="H1254:I1254" si="631">H151</f>
        <v>0</v>
      </c>
      <c r="I1254" s="103" t="e">
        <f t="shared" si="631"/>
        <v>#DIV/0!</v>
      </c>
    </row>
    <row r="1255" spans="1:9" ht="15.75" hidden="1" x14ac:dyDescent="0.25">
      <c r="A1255" s="50"/>
      <c r="B1255" s="50"/>
      <c r="C1255" s="54">
        <v>3</v>
      </c>
      <c r="D1255" s="53"/>
      <c r="E1255" s="53"/>
      <c r="F1255" s="53"/>
      <c r="G1255" s="103">
        <f>G974+G158</f>
        <v>6339</v>
      </c>
      <c r="H1255" s="103">
        <f t="shared" ref="H1255:I1255" si="632">H974+H158</f>
        <v>6336.6932300000008</v>
      </c>
      <c r="I1255" s="103">
        <f t="shared" si="632"/>
        <v>199.96355007426598</v>
      </c>
    </row>
    <row r="1256" spans="1:9" ht="15.75" hidden="1" x14ac:dyDescent="0.25">
      <c r="A1256" s="50"/>
      <c r="B1256" s="50"/>
      <c r="C1256" s="54">
        <v>4</v>
      </c>
      <c r="D1256" s="53"/>
      <c r="E1256" s="53"/>
      <c r="F1256" s="53"/>
      <c r="G1256" s="103">
        <f>G177+G981+G267</f>
        <v>7853.1850000000004</v>
      </c>
      <c r="H1256" s="103">
        <f t="shared" ref="H1256:I1256" si="633">H177+H981+H267</f>
        <v>7774.1941999999999</v>
      </c>
      <c r="I1256" s="103" t="e">
        <f t="shared" si="633"/>
        <v>#DIV/0!</v>
      </c>
    </row>
    <row r="1257" spans="1:9" ht="15.75" hidden="1" x14ac:dyDescent="0.25">
      <c r="A1257" s="50"/>
      <c r="B1257" s="50"/>
      <c r="C1257" s="54" t="s">
        <v>603</v>
      </c>
      <c r="D1257" s="53"/>
      <c r="E1257" s="53"/>
      <c r="F1257" s="53"/>
      <c r="G1257" s="103">
        <f>G1256-G1258</f>
        <v>7521.1850000000004</v>
      </c>
      <c r="H1257" s="103">
        <f t="shared" ref="H1257:I1257" si="634">H1256-H1258</f>
        <v>7447.8689999999997</v>
      </c>
      <c r="I1257" s="103" t="e">
        <f t="shared" si="634"/>
        <v>#DIV/0!</v>
      </c>
    </row>
    <row r="1258" spans="1:9" ht="15.75" hidden="1" x14ac:dyDescent="0.25">
      <c r="A1258" s="50"/>
      <c r="B1258" s="50"/>
      <c r="C1258" s="54" t="s">
        <v>604</v>
      </c>
      <c r="D1258" s="53"/>
      <c r="E1258" s="53"/>
      <c r="F1258" s="53"/>
      <c r="G1258" s="103">
        <f>G193+G275+G282+G289+G204+G184</f>
        <v>332</v>
      </c>
      <c r="H1258" s="103">
        <f t="shared" ref="H1258:I1258" si="635">H193+H275+H282+H289+H204+H184</f>
        <v>326.3252</v>
      </c>
      <c r="I1258" s="103" t="e">
        <f t="shared" si="635"/>
        <v>#DIV/0!</v>
      </c>
    </row>
    <row r="1259" spans="1:9" ht="15.75" hidden="1" x14ac:dyDescent="0.25">
      <c r="A1259" s="50"/>
      <c r="B1259" s="50"/>
      <c r="C1259" s="54">
        <v>5</v>
      </c>
      <c r="D1259" s="53"/>
      <c r="E1259" s="53"/>
      <c r="F1259" s="53"/>
      <c r="G1259" s="103">
        <f>G1008+G558</f>
        <v>87032.848199999993</v>
      </c>
      <c r="H1259" s="103">
        <f t="shared" ref="H1259:I1259" si="636">H1008+H558</f>
        <v>82814.091369999995</v>
      </c>
      <c r="I1259" s="103">
        <f t="shared" si="636"/>
        <v>192.21602758814751</v>
      </c>
    </row>
    <row r="1260" spans="1:9" ht="15.75" hidden="1" x14ac:dyDescent="0.25">
      <c r="A1260" s="50"/>
      <c r="B1260" s="50"/>
      <c r="C1260" s="54" t="s">
        <v>603</v>
      </c>
      <c r="D1260" s="53"/>
      <c r="E1260" s="53"/>
      <c r="F1260" s="53"/>
      <c r="G1260" s="103">
        <f>G1259-G1261</f>
        <v>48920.648199999996</v>
      </c>
      <c r="H1260" s="103">
        <f t="shared" ref="H1260:I1260" si="637">H1259-H1261</f>
        <v>48708.508569999991</v>
      </c>
      <c r="I1260" s="103" t="e">
        <f t="shared" si="637"/>
        <v>#DIV/0!</v>
      </c>
    </row>
    <row r="1261" spans="1:9" ht="15.75" hidden="1" x14ac:dyDescent="0.25">
      <c r="A1261" s="50"/>
      <c r="B1261" s="50"/>
      <c r="C1261" s="54" t="s">
        <v>604</v>
      </c>
      <c r="D1261" s="53"/>
      <c r="E1261" s="53"/>
      <c r="F1261" s="53"/>
      <c r="G1261" s="103">
        <f>G1045+G1135+G1144+G1042</f>
        <v>38112.199999999997</v>
      </c>
      <c r="H1261" s="103">
        <f t="shared" ref="H1261:I1261" si="638">H1045+H1135+H1144+H1042</f>
        <v>34105.582800000004</v>
      </c>
      <c r="I1261" s="103" t="e">
        <f t="shared" si="638"/>
        <v>#DIV/0!</v>
      </c>
    </row>
    <row r="1262" spans="1:9" ht="15.75" hidden="1" x14ac:dyDescent="0.25">
      <c r="A1262" s="50"/>
      <c r="B1262" s="50"/>
      <c r="C1262" s="54">
        <v>7</v>
      </c>
      <c r="D1262" s="53"/>
      <c r="E1262" s="53"/>
      <c r="F1262" s="53"/>
      <c r="G1262" s="103">
        <f>G585+G296</f>
        <v>373477.53074999998</v>
      </c>
      <c r="H1262" s="103">
        <f t="shared" ref="H1262:I1262" si="639">H585+H296</f>
        <v>352509.84426999994</v>
      </c>
      <c r="I1262" s="103">
        <f t="shared" si="639"/>
        <v>191.49973400014761</v>
      </c>
    </row>
    <row r="1263" spans="1:9" ht="15.75" hidden="1" x14ac:dyDescent="0.25">
      <c r="A1263" s="50"/>
      <c r="B1263" s="50"/>
      <c r="C1263" s="54" t="s">
        <v>603</v>
      </c>
      <c r="D1263" s="53"/>
      <c r="E1263" s="53"/>
      <c r="F1263" s="53"/>
      <c r="G1263" s="103">
        <f>G1262-G1264</f>
        <v>131245.07931999993</v>
      </c>
      <c r="H1263" s="103">
        <f t="shared" ref="H1263:I1263" si="640">H1262-H1264</f>
        <v>128761.67585999993</v>
      </c>
      <c r="I1263" s="103">
        <f t="shared" si="640"/>
        <v>-737.23855282662726</v>
      </c>
    </row>
    <row r="1264" spans="1:9" ht="15.75" hidden="1" x14ac:dyDescent="0.25">
      <c r="A1264" s="50"/>
      <c r="B1264" s="50"/>
      <c r="C1264" s="54" t="s">
        <v>604</v>
      </c>
      <c r="D1264" s="53"/>
      <c r="E1264" s="53"/>
      <c r="F1264" s="53"/>
      <c r="G1264" s="103">
        <f>G816+G779+G717+G710+G670+G637+G596+G322+G755+G644-47.759+G733+G740+G747+G754-81.05</f>
        <v>242232.45143000004</v>
      </c>
      <c r="H1264" s="103">
        <f t="shared" ref="H1264:I1264" si="641">H816+H779+H717+H710+H670+H637+H596+H322+H755+H644-47.759+H733+H740+H747+H754-81.05</f>
        <v>223748.16841000001</v>
      </c>
      <c r="I1264" s="103">
        <f t="shared" si="641"/>
        <v>928.73828682677492</v>
      </c>
    </row>
    <row r="1265" spans="1:9" ht="15.75" hidden="1" x14ac:dyDescent="0.25">
      <c r="A1265" s="50"/>
      <c r="B1265" s="50"/>
      <c r="C1265" s="54">
        <v>8</v>
      </c>
      <c r="D1265" s="53"/>
      <c r="E1265" s="53"/>
      <c r="F1265" s="53"/>
      <c r="G1265" s="103">
        <f>G360</f>
        <v>73304.71375000001</v>
      </c>
      <c r="H1265" s="103">
        <f t="shared" ref="H1265:I1265" si="642">H360</f>
        <v>72713.185769999996</v>
      </c>
      <c r="I1265" s="103">
        <f t="shared" si="642"/>
        <v>99.193056012717847</v>
      </c>
    </row>
    <row r="1266" spans="1:9" ht="15.75" hidden="1" x14ac:dyDescent="0.25">
      <c r="A1266" s="50"/>
      <c r="B1266" s="50"/>
      <c r="C1266" s="54" t="s">
        <v>603</v>
      </c>
      <c r="D1266" s="53"/>
      <c r="E1266" s="53"/>
      <c r="F1266" s="53"/>
      <c r="G1266" s="103">
        <f>G1265-G1267</f>
        <v>69565.71375000001</v>
      </c>
      <c r="H1266" s="103">
        <f t="shared" ref="H1266:I1266" si="643">H1265-H1267</f>
        <v>69097.334829999993</v>
      </c>
      <c r="I1266" s="103">
        <f t="shared" si="643"/>
        <v>-215.61208757497857</v>
      </c>
    </row>
    <row r="1267" spans="1:9" ht="15.75" hidden="1" x14ac:dyDescent="0.25">
      <c r="A1267" s="50"/>
      <c r="B1267" s="50"/>
      <c r="C1267" s="54" t="s">
        <v>604</v>
      </c>
      <c r="D1267" s="53"/>
      <c r="E1267" s="53"/>
      <c r="F1267" s="53"/>
      <c r="G1267" s="103">
        <f>G420+G417+G385+G392-77.423</f>
        <v>3739</v>
      </c>
      <c r="H1267" s="103">
        <f t="shared" ref="H1267:I1267" si="644">H420+H417+H385+H392-77.423</f>
        <v>3615.8509400000003</v>
      </c>
      <c r="I1267" s="103">
        <f t="shared" si="644"/>
        <v>314.80514358769642</v>
      </c>
    </row>
    <row r="1268" spans="1:9" ht="15.75" hidden="1" x14ac:dyDescent="0.25">
      <c r="A1268" s="50"/>
      <c r="B1268" s="50"/>
      <c r="C1268" s="54">
        <v>10</v>
      </c>
      <c r="D1268" s="53"/>
      <c r="E1268" s="53"/>
      <c r="F1268" s="53"/>
      <c r="G1268" s="103">
        <f>G1187+G472+G207+G568</f>
        <v>15303.46</v>
      </c>
      <c r="H1268" s="103">
        <f t="shared" ref="H1268:I1268" si="645">H1187+H472+H207+H568</f>
        <v>14825.194810000001</v>
      </c>
      <c r="I1268" s="103" t="e">
        <f t="shared" si="645"/>
        <v>#DIV/0!</v>
      </c>
    </row>
    <row r="1269" spans="1:9" ht="15.75" hidden="1" x14ac:dyDescent="0.25">
      <c r="A1269" s="50"/>
      <c r="B1269" s="50"/>
      <c r="C1269" s="54" t="s">
        <v>603</v>
      </c>
      <c r="D1269" s="53"/>
      <c r="E1269" s="53"/>
      <c r="F1269" s="53"/>
      <c r="G1269" s="103">
        <f>G1268-G1270</f>
        <v>11510.599999999999</v>
      </c>
      <c r="H1269" s="103">
        <f t="shared" ref="H1269:I1269" si="646">H1268-H1270</f>
        <v>11509.739240000001</v>
      </c>
      <c r="I1269" s="103" t="e">
        <f t="shared" si="646"/>
        <v>#DIV/0!</v>
      </c>
    </row>
    <row r="1270" spans="1:9" ht="15.75" hidden="1" x14ac:dyDescent="0.25">
      <c r="A1270" s="50"/>
      <c r="B1270" s="50"/>
      <c r="C1270" s="54" t="s">
        <v>604</v>
      </c>
      <c r="D1270" s="53"/>
      <c r="E1270" s="53"/>
      <c r="F1270" s="53"/>
      <c r="G1270" s="103">
        <f>G222+G477-28.9+G568</f>
        <v>3792.8599999999997</v>
      </c>
      <c r="H1270" s="103">
        <f t="shared" ref="H1270:I1270" si="647">H222+H477-28.9+H568</f>
        <v>3315.4555700000001</v>
      </c>
      <c r="I1270" s="103">
        <f t="shared" si="647"/>
        <v>158.69306094347743</v>
      </c>
    </row>
    <row r="1271" spans="1:9" ht="15.75" hidden="1" x14ac:dyDescent="0.25">
      <c r="A1271" s="50"/>
      <c r="B1271" s="50"/>
      <c r="C1271" s="54">
        <v>11</v>
      </c>
      <c r="D1271" s="53"/>
      <c r="E1271" s="53"/>
      <c r="F1271" s="53"/>
      <c r="G1271" s="103">
        <f>G857</f>
        <v>65756.208149999991</v>
      </c>
      <c r="H1271" s="103">
        <f t="shared" ref="H1271:I1271" si="648">H857</f>
        <v>65462.30128</v>
      </c>
      <c r="I1271" s="103">
        <f t="shared" si="648"/>
        <v>99.553035556232885</v>
      </c>
    </row>
    <row r="1272" spans="1:9" ht="15.75" hidden="1" x14ac:dyDescent="0.25">
      <c r="A1272" s="50"/>
      <c r="B1272" s="50"/>
      <c r="C1272" s="54" t="s">
        <v>603</v>
      </c>
      <c r="D1272" s="53"/>
      <c r="E1272" s="53"/>
      <c r="F1272" s="53"/>
      <c r="G1272" s="103">
        <f>G1271-G1273</f>
        <v>59717.80814999999</v>
      </c>
      <c r="H1272" s="103">
        <f t="shared" ref="H1272:I1272" si="649">H1271-H1273</f>
        <v>59529.92957</v>
      </c>
      <c r="I1272" s="103">
        <f t="shared" si="649"/>
        <v>-147.85292826858989</v>
      </c>
    </row>
    <row r="1273" spans="1:9" ht="15.75" hidden="1" x14ac:dyDescent="0.25">
      <c r="A1273" s="50"/>
      <c r="B1273" s="50"/>
      <c r="C1273" s="54" t="s">
        <v>604</v>
      </c>
      <c r="D1273" s="53"/>
      <c r="E1273" s="53"/>
      <c r="F1273" s="53"/>
      <c r="G1273" s="103">
        <f>G892+G899-39.5604+G909</f>
        <v>6038.4</v>
      </c>
      <c r="H1273" s="103">
        <f t="shared" ref="H1273:I1273" si="650">H892+H899-39.5604+H909</f>
        <v>5932.3717099999994</v>
      </c>
      <c r="I1273" s="103">
        <f t="shared" si="650"/>
        <v>247.40596382482278</v>
      </c>
    </row>
    <row r="1274" spans="1:9" ht="15.75" hidden="1" x14ac:dyDescent="0.25">
      <c r="A1274" s="50"/>
      <c r="B1274" s="50"/>
      <c r="C1274" s="54">
        <v>12</v>
      </c>
      <c r="D1274" s="53"/>
      <c r="E1274" s="53"/>
      <c r="F1274" s="53"/>
      <c r="G1274" s="103">
        <f>G501</f>
        <v>6543.0999999999985</v>
      </c>
      <c r="H1274" s="103">
        <f t="shared" ref="H1274:I1274" si="651">H501</f>
        <v>6536.8035399999999</v>
      </c>
      <c r="I1274" s="103">
        <f t="shared" si="651"/>
        <v>99.903769467072195</v>
      </c>
    </row>
    <row r="1275" spans="1:9" ht="15.75" hidden="1" x14ac:dyDescent="0.25">
      <c r="A1275" s="50"/>
      <c r="B1275" s="50"/>
      <c r="C1275" s="55"/>
      <c r="D1275" s="53"/>
      <c r="E1275" s="53"/>
      <c r="F1275" s="53"/>
      <c r="G1275" s="359">
        <f>G1251+G1254+G1255+G1256+G1259+G1262+G1265+G1268+G1271+G1274</f>
        <v>782239.5443999999</v>
      </c>
      <c r="H1275" s="359">
        <f t="shared" ref="H1275:I1275" si="652">H1251+H1254+H1255+H1256+H1259+H1262+H1265+H1268+H1271+H1274</f>
        <v>753289.39202999999</v>
      </c>
      <c r="I1275" s="359" t="e">
        <f t="shared" si="652"/>
        <v>#DIV/0!</v>
      </c>
    </row>
    <row r="1276" spans="1:9" ht="15.75" hidden="1" x14ac:dyDescent="0.25">
      <c r="A1276" s="50"/>
      <c r="B1276" s="50"/>
      <c r="C1276" s="54" t="s">
        <v>603</v>
      </c>
      <c r="D1276" s="53"/>
      <c r="E1276" s="53"/>
      <c r="F1276" s="53"/>
      <c r="G1276" s="359">
        <f>G1252+G1254+G1255+G1257+G1260+G1263+G1266+G1269+G1272+G1274</f>
        <v>484505.64296999987</v>
      </c>
      <c r="H1276" s="359">
        <f t="shared" ref="H1276:I1276" si="653">H1252+H1254+H1255+H1257+H1260+H1263+H1266+H1269+H1272+H1274</f>
        <v>478941.56828999997</v>
      </c>
      <c r="I1276" s="359" t="e">
        <f t="shared" si="653"/>
        <v>#DIV/0!</v>
      </c>
    </row>
    <row r="1277" spans="1:9" ht="15.75" hidden="1" x14ac:dyDescent="0.25">
      <c r="A1277" s="50"/>
      <c r="B1277" s="50"/>
      <c r="C1277" s="54" t="s">
        <v>604</v>
      </c>
      <c r="D1277" s="53"/>
      <c r="E1277" s="53"/>
      <c r="F1277" s="53"/>
      <c r="G1277" s="359">
        <f>G1275-G1276</f>
        <v>297733.90143000003</v>
      </c>
      <c r="H1277" s="359">
        <f t="shared" ref="H1277:I1277" si="654">H1275-H1276</f>
        <v>274347.82374000002</v>
      </c>
      <c r="I1277" s="359" t="e">
        <f t="shared" si="654"/>
        <v>#DIV/0!</v>
      </c>
    </row>
    <row r="1278" spans="1:9" hidden="1" x14ac:dyDescent="0.25"/>
    <row r="1279" spans="1:9" hidden="1" x14ac:dyDescent="0.25">
      <c r="D1279" s="310" t="s">
        <v>605</v>
      </c>
      <c r="E1279" s="310">
        <v>50</v>
      </c>
      <c r="G1279" s="340">
        <f>G989</f>
        <v>3803.7000000000003</v>
      </c>
      <c r="H1279" s="340">
        <f t="shared" ref="H1279:I1279" si="655">H989</f>
        <v>3730.5</v>
      </c>
      <c r="I1279" s="340">
        <f t="shared" si="655"/>
        <v>98.075558009306718</v>
      </c>
    </row>
    <row r="1280" spans="1:9" hidden="1" x14ac:dyDescent="0.25">
      <c r="E1280" s="310">
        <v>51</v>
      </c>
      <c r="G1280" s="340">
        <f>G231+G269+G341+G466+G474</f>
        <v>2088.6000000000004</v>
      </c>
      <c r="H1280" s="340">
        <f t="shared" ref="H1280:I1280" si="656">H231+H269+H341+H466+H474</f>
        <v>2088.1040000000003</v>
      </c>
      <c r="I1280" s="340" t="e">
        <f t="shared" si="656"/>
        <v>#DIV/0!</v>
      </c>
    </row>
    <row r="1281" spans="5:9" hidden="1" x14ac:dyDescent="0.25">
      <c r="E1281" s="310">
        <v>52</v>
      </c>
      <c r="G1281" s="340">
        <f>G587+G658+G773+G810</f>
        <v>334146.29600000003</v>
      </c>
      <c r="H1281" s="340">
        <f t="shared" ref="H1281:I1281" si="657">H587+H658+H773+H810</f>
        <v>314667.21773999999</v>
      </c>
      <c r="I1281" s="340">
        <f t="shared" si="657"/>
        <v>363.20837699744425</v>
      </c>
    </row>
    <row r="1282" spans="5:9" hidden="1" x14ac:dyDescent="0.25">
      <c r="E1282" s="310">
        <v>53</v>
      </c>
      <c r="G1282" s="340">
        <f>G199</f>
        <v>100</v>
      </c>
      <c r="H1282" s="340">
        <f t="shared" ref="H1282:I1282" si="658">H199</f>
        <v>100</v>
      </c>
      <c r="I1282" s="340">
        <f t="shared" si="658"/>
        <v>100</v>
      </c>
    </row>
    <row r="1283" spans="5:9" hidden="1" x14ac:dyDescent="0.25">
      <c r="E1283" s="310">
        <v>54</v>
      </c>
      <c r="G1283" s="340">
        <f>G1211+G80</f>
        <v>593</v>
      </c>
      <c r="H1283" s="340">
        <f t="shared" ref="H1283:I1283" si="659">H1211+H80</f>
        <v>580.49354000000005</v>
      </c>
      <c r="I1283" s="340">
        <f t="shared" si="659"/>
        <v>197.83625259515571</v>
      </c>
    </row>
    <row r="1284" spans="5:9" hidden="1" x14ac:dyDescent="0.25">
      <c r="E1284" s="310">
        <v>55</v>
      </c>
      <c r="G1284" s="340">
        <f>G215</f>
        <v>0</v>
      </c>
      <c r="H1284" s="340">
        <f t="shared" ref="H1284:I1284" si="660">H215</f>
        <v>0</v>
      </c>
      <c r="I1284" s="340" t="e">
        <f t="shared" si="660"/>
        <v>#DIV/0!</v>
      </c>
    </row>
    <row r="1285" spans="5:9" hidden="1" x14ac:dyDescent="0.25">
      <c r="E1285" s="310">
        <v>56</v>
      </c>
    </row>
    <row r="1286" spans="5:9" hidden="1" x14ac:dyDescent="0.25">
      <c r="E1286" s="310">
        <v>57</v>
      </c>
      <c r="G1286" s="340">
        <f>G863+G944</f>
        <v>54849.330399999992</v>
      </c>
      <c r="H1286" s="340">
        <f t="shared" ref="H1286:I1286" si="661">H863+H944</f>
        <v>54667.397499999999</v>
      </c>
      <c r="I1286" s="340">
        <f t="shared" si="661"/>
        <v>199.6599048155432</v>
      </c>
    </row>
    <row r="1287" spans="5:9" hidden="1" x14ac:dyDescent="0.25">
      <c r="E1287" s="310">
        <v>58</v>
      </c>
      <c r="G1287" s="340">
        <f>G298+G363+G396</f>
        <v>70489.42300000001</v>
      </c>
      <c r="H1287" s="340">
        <f t="shared" ref="H1287:I1287" si="662">H298+H363+H396</f>
        <v>69452.509430000006</v>
      </c>
      <c r="I1287" s="340">
        <f t="shared" si="662"/>
        <v>295.06801153010497</v>
      </c>
    </row>
    <row r="1288" spans="5:9" hidden="1" x14ac:dyDescent="0.25">
      <c r="E1288" s="310">
        <v>59</v>
      </c>
      <c r="G1288" s="340">
        <f>G647+G762+G1182+G430+G910</f>
        <v>335.5</v>
      </c>
      <c r="H1288" s="340">
        <f t="shared" ref="H1288:I1288" si="663">H647+H762+H1182+H430+H910</f>
        <v>335.4</v>
      </c>
      <c r="I1288" s="340" t="e">
        <f t="shared" si="663"/>
        <v>#DIV/0!</v>
      </c>
    </row>
    <row r="1289" spans="5:9" hidden="1" x14ac:dyDescent="0.25">
      <c r="E1289" s="310">
        <v>60</v>
      </c>
      <c r="G1289" s="340">
        <f>G1104</f>
        <v>4405.6000000000004</v>
      </c>
      <c r="H1289" s="340">
        <f t="shared" ref="H1289:I1289" si="664">H1104</f>
        <v>3698.998</v>
      </c>
      <c r="I1289" s="340">
        <f t="shared" si="664"/>
        <v>83.96127655710913</v>
      </c>
    </row>
    <row r="1290" spans="5:9" hidden="1" x14ac:dyDescent="0.25">
      <c r="E1290" s="310">
        <v>61</v>
      </c>
      <c r="G1290" s="340">
        <f>G179</f>
        <v>91.084999999999994</v>
      </c>
      <c r="H1290" s="340">
        <f t="shared" ref="H1290:I1290" si="665">H179</f>
        <v>91</v>
      </c>
      <c r="I1290" s="340">
        <f t="shared" si="665"/>
        <v>99.90668057309108</v>
      </c>
    </row>
    <row r="1291" spans="5:9" hidden="1" x14ac:dyDescent="0.25">
      <c r="E1291" s="310">
        <v>62</v>
      </c>
      <c r="G1291" s="340">
        <f>G1062</f>
        <v>199</v>
      </c>
      <c r="H1291" s="340">
        <f t="shared" ref="H1291:I1291" si="666">H1062</f>
        <v>199</v>
      </c>
      <c r="I1291" s="340">
        <f t="shared" si="666"/>
        <v>100</v>
      </c>
    </row>
    <row r="1292" spans="5:9" hidden="1" x14ac:dyDescent="0.25">
      <c r="E1292" s="310">
        <v>63</v>
      </c>
      <c r="G1292" s="340">
        <f>G240+G577+G852</f>
        <v>136.19999999999999</v>
      </c>
      <c r="H1292" s="340">
        <f t="shared" ref="H1292:I1292" si="667">H240+H577+H852</f>
        <v>86.2</v>
      </c>
      <c r="I1292" s="340">
        <f t="shared" si="667"/>
        <v>200</v>
      </c>
    </row>
    <row r="1293" spans="5:9" hidden="1" x14ac:dyDescent="0.25">
      <c r="E1293" s="310">
        <v>64</v>
      </c>
      <c r="G1293" s="340">
        <f>G132+G335+G435+G652+G767+G804+G915+G257+G521</f>
        <v>3463.7669999999998</v>
      </c>
      <c r="H1293" s="340">
        <f t="shared" ref="H1293:I1293" si="668">H132+H335+H435+H652+H767+H804+H915+H257+H521</f>
        <v>3402.8629099999994</v>
      </c>
      <c r="I1293" s="340">
        <f t="shared" si="668"/>
        <v>879.63953777737254</v>
      </c>
    </row>
    <row r="1294" spans="5:9" hidden="1" x14ac:dyDescent="0.25">
      <c r="E1294" s="310">
        <v>65</v>
      </c>
      <c r="G1294" s="340">
        <f>G1142</f>
        <v>0</v>
      </c>
      <c r="H1294" s="340">
        <f t="shared" ref="H1294:I1294" si="669">H1142</f>
        <v>0</v>
      </c>
      <c r="I1294" s="340" t="e">
        <f t="shared" si="669"/>
        <v>#DIV/0!</v>
      </c>
    </row>
    <row r="1295" spans="5:9" hidden="1" x14ac:dyDescent="0.25">
      <c r="E1295" s="310">
        <v>66</v>
      </c>
      <c r="G1295" s="340">
        <f>G553</f>
        <v>0</v>
      </c>
      <c r="H1295" s="340">
        <f t="shared" ref="H1295:I1295" si="670">H553</f>
        <v>0</v>
      </c>
      <c r="I1295" s="340" t="e">
        <f t="shared" si="670"/>
        <v>#DIV/0!</v>
      </c>
    </row>
    <row r="1296" spans="5:9" hidden="1" x14ac:dyDescent="0.25">
      <c r="E1296" s="310">
        <v>67</v>
      </c>
      <c r="G1296" s="340">
        <f>G141</f>
        <v>30</v>
      </c>
      <c r="H1296" s="340">
        <f t="shared" ref="H1296:I1296" si="671">H141</f>
        <v>0</v>
      </c>
      <c r="I1296" s="340">
        <f t="shared" si="671"/>
        <v>0</v>
      </c>
    </row>
    <row r="1297" spans="1:9" hidden="1" x14ac:dyDescent="0.25">
      <c r="E1297" s="310">
        <v>69</v>
      </c>
      <c r="G1297" s="340">
        <f>G146+G262</f>
        <v>80</v>
      </c>
      <c r="H1297" s="340">
        <f t="shared" ref="H1297:I1297" si="672">H146+H262</f>
        <v>19.850000000000001</v>
      </c>
      <c r="I1297" s="340">
        <f t="shared" si="672"/>
        <v>99.25</v>
      </c>
    </row>
    <row r="1298" spans="1:9" s="211" customFormat="1" hidden="1" x14ac:dyDescent="0.25">
      <c r="A1298" s="310"/>
      <c r="B1298" s="310"/>
      <c r="C1298" s="310"/>
      <c r="D1298" s="310"/>
      <c r="E1298" s="310">
        <v>70</v>
      </c>
      <c r="F1298" s="310"/>
      <c r="G1298" s="340">
        <f>G1095</f>
        <v>0</v>
      </c>
      <c r="H1298" s="340">
        <f t="shared" ref="H1298:I1298" si="673">H1095</f>
        <v>0</v>
      </c>
      <c r="I1298" s="340" t="e">
        <f t="shared" si="673"/>
        <v>#DIV/0!</v>
      </c>
    </row>
    <row r="1299" spans="1:9" hidden="1" x14ac:dyDescent="0.25">
      <c r="G1299" s="340">
        <f>SUM(G1279:G1298)</f>
        <v>474811.50140000001</v>
      </c>
      <c r="H1299" s="340">
        <f t="shared" ref="H1299:I1299" si="674">SUM(H1279:H1298)</f>
        <v>453119.53312000009</v>
      </c>
      <c r="I1299" s="340" t="e">
        <f t="shared" si="674"/>
        <v>#DIV/0!</v>
      </c>
    </row>
  </sheetData>
  <mergeCells count="4">
    <mergeCell ref="H1:I1"/>
    <mergeCell ref="H2:I2"/>
    <mergeCell ref="H3:I3"/>
    <mergeCell ref="A5:I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пр.2 Рд,пр 20</vt:lpstr>
      <vt:lpstr>пр.3.1. рдпр 21-22</vt:lpstr>
      <vt:lpstr>Пр.3 Рд,пр, ЦС,ВР 20</vt:lpstr>
      <vt:lpstr>пр.4.1.рдпрцс 21-22</vt:lpstr>
      <vt:lpstr>Прил.№5 ведомств.старая</vt:lpstr>
      <vt:lpstr>прил.№6 МП старая</vt:lpstr>
      <vt:lpstr>Пр.4 ведом.20</vt:lpstr>
      <vt:lpstr>пр.5.1.ведом.21-22</vt:lpstr>
      <vt:lpstr>пр.5 МП 20</vt:lpstr>
      <vt:lpstr>пр.6.1.МП 21-22</vt:lpstr>
      <vt:lpstr>пр.6 публ. 20</vt:lpstr>
      <vt:lpstr>пр.7.1.публ.21-22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'пр.2 Рд,пр 20'!Область_печати</vt:lpstr>
      <vt:lpstr>'Пр.3 Рд,пр, ЦС,ВР 20'!Область_печати</vt:lpstr>
      <vt:lpstr>'Пр.4 ведом.20'!Область_печати</vt:lpstr>
      <vt:lpstr>'пр.5 МП 20'!Область_печати</vt:lpstr>
      <vt:lpstr>'пр.5.1.ведом.21-22'!Область_печати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2021-04-21T09:58:25Z</dcterms:modified>
</cp:coreProperties>
</file>